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ustom.xml" ContentType="application/vnd.openxmlformats-officedocument.custom-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raleighncgov-my.sharepoint.com/personal/rene_haagen_raleighnc_gov/Documents/AKTUELLE ARBEITSACHEN/RALEIGH WATER/Energov/Plans/Reimbursements/Web updates/"/>
    </mc:Choice>
  </mc:AlternateContent>
  <xr:revisionPtr revIDLastSave="0" documentId="8_{D9373817-3D70-4AAD-88FB-7742270A4439}" xr6:coauthVersionLast="47" xr6:coauthVersionMax="47" xr10:uidLastSave="{00000000-0000-0000-0000-000000000000}"/>
  <bookViews>
    <workbookView xWindow="-108" yWindow="-108" windowWidth="23256" windowHeight="14016" tabRatio="683" xr2:uid="{00000000-000D-0000-FFFF-FFFF00000000}"/>
  </bookViews>
  <sheets>
    <sheet name="Sewer Project Data" sheetId="6" r:id="rId1"/>
    <sheet name="Sewer Cost Data" sheetId="7" r:id="rId2"/>
    <sheet name="Water Project Data" sheetId="9" r:id="rId3"/>
    <sheet name="Water Cost Data" sheetId="8" r:id="rId4"/>
    <sheet name="Reimbursement Calculator" sheetId="4" r:id="rId5"/>
    <sheet name="Data" sheetId="2" r:id="rId6"/>
    <sheet name="Contribution Calculator"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 i="6" l="1"/>
  <c r="AE5" i="6"/>
  <c r="AE6" i="6"/>
  <c r="AE7" i="6"/>
  <c r="AE8" i="6"/>
  <c r="AE9" i="6"/>
  <c r="AE10" i="6"/>
  <c r="AE11" i="6"/>
  <c r="AE12" i="6"/>
  <c r="AE13" i="6"/>
  <c r="AE14" i="6"/>
  <c r="AE15" i="6"/>
  <c r="AE16" i="6"/>
  <c r="AE17" i="6"/>
  <c r="AE18" i="6"/>
  <c r="AE19" i="6"/>
  <c r="AE20" i="6"/>
  <c r="AE21" i="6"/>
  <c r="AE22" i="6"/>
  <c r="AE23" i="6"/>
  <c r="AE24" i="6"/>
  <c r="AE25" i="6"/>
  <c r="AE26" i="6"/>
  <c r="AE27" i="6"/>
  <c r="AE3" i="6"/>
  <c r="L4" i="6"/>
  <c r="L5" i="6"/>
  <c r="L6" i="6"/>
  <c r="L8" i="6"/>
  <c r="L9" i="6"/>
  <c r="L10" i="6"/>
  <c r="L11" i="6"/>
  <c r="L12" i="6"/>
  <c r="L13" i="6"/>
  <c r="L14" i="6"/>
  <c r="L15" i="6"/>
  <c r="L16" i="6"/>
  <c r="L17" i="6"/>
  <c r="L18" i="6"/>
  <c r="L19" i="6"/>
  <c r="L20" i="6"/>
  <c r="L21" i="6"/>
  <c r="L22" i="6"/>
  <c r="L23" i="6"/>
  <c r="L24" i="6"/>
  <c r="L25" i="6"/>
  <c r="L26" i="6"/>
  <c r="L27" i="6"/>
  <c r="L3" i="6"/>
  <c r="F21" i="7" l="1"/>
  <c r="G21" i="7"/>
  <c r="E21" i="7"/>
  <c r="F10" i="7"/>
  <c r="G10" i="7"/>
  <c r="E10" i="7"/>
  <c r="L7" i="6" s="1"/>
  <c r="M5" i="7" l="1"/>
  <c r="F6" i="7" l="1"/>
  <c r="G6" i="7"/>
  <c r="E6" i="7"/>
  <c r="B15" i="4" l="1"/>
  <c r="B16" i="4"/>
  <c r="B17" i="4"/>
  <c r="M41" i="4" l="1"/>
  <c r="I7" i="10"/>
  <c r="I6" i="10"/>
  <c r="C2" i="10" l="1"/>
  <c r="E6" i="10"/>
  <c r="A6" i="10" l="1"/>
  <c r="G6" i="10"/>
  <c r="A19" i="10"/>
  <c r="B48" i="4"/>
  <c r="B47" i="4"/>
  <c r="B41" i="4"/>
  <c r="J6" i="10" l="1"/>
  <c r="H6" i="10"/>
  <c r="K6" i="10" s="1"/>
  <c r="H42" i="4"/>
  <c r="E41" i="4"/>
  <c r="E42" i="4"/>
  <c r="E43" i="4"/>
  <c r="E44" i="4"/>
  <c r="E45" i="4"/>
  <c r="E46" i="4"/>
  <c r="E47" i="4"/>
  <c r="E48" i="4"/>
  <c r="E49" i="4"/>
  <c r="E50" i="4"/>
  <c r="E51" i="4"/>
  <c r="E52" i="4"/>
  <c r="E53" i="4"/>
  <c r="E54" i="4"/>
  <c r="B42" i="4"/>
  <c r="B43" i="4"/>
  <c r="B44" i="4"/>
  <c r="B45" i="4"/>
  <c r="B46" i="4"/>
  <c r="E4" i="9"/>
  <c r="F4" i="9" s="1"/>
  <c r="I4" i="9"/>
  <c r="F3" i="6"/>
  <c r="E17" i="7"/>
  <c r="F17" i="7"/>
  <c r="G17" i="7"/>
  <c r="I8" i="10" l="1"/>
  <c r="I9" i="10"/>
  <c r="I10" i="10"/>
  <c r="I11" i="10"/>
  <c r="I12" i="10"/>
  <c r="I13" i="10"/>
  <c r="I14" i="10"/>
  <c r="I15" i="10"/>
  <c r="I16" i="10"/>
  <c r="I17" i="10"/>
  <c r="I18" i="10"/>
  <c r="I19" i="10"/>
  <c r="I20" i="10"/>
  <c r="I21" i="10"/>
  <c r="I22" i="10"/>
  <c r="I23" i="10"/>
  <c r="I24" i="10"/>
  <c r="I25" i="10"/>
  <c r="I26" i="10"/>
  <c r="I27" i="10"/>
  <c r="I28" i="10"/>
  <c r="F15" i="4" l="1"/>
  <c r="H47" i="4"/>
  <c r="K47" i="4"/>
  <c r="M47" i="4"/>
  <c r="W47" i="4"/>
  <c r="X47" i="4"/>
  <c r="Z47" i="4"/>
  <c r="AA47" i="4"/>
  <c r="H48" i="4"/>
  <c r="K48" i="4"/>
  <c r="M48" i="4"/>
  <c r="W48" i="4"/>
  <c r="X48" i="4"/>
  <c r="Z48" i="4"/>
  <c r="AA48" i="4"/>
  <c r="F49" i="4"/>
  <c r="H49" i="4"/>
  <c r="K49" i="4"/>
  <c r="M49" i="4"/>
  <c r="W49" i="4"/>
  <c r="X49" i="4"/>
  <c r="Z49" i="4"/>
  <c r="AA49" i="4"/>
  <c r="B50" i="4"/>
  <c r="H50" i="4"/>
  <c r="K50" i="4"/>
  <c r="M50" i="4"/>
  <c r="W50" i="4"/>
  <c r="X50" i="4"/>
  <c r="Z50" i="4"/>
  <c r="AA50" i="4"/>
  <c r="B51" i="4"/>
  <c r="H51" i="4"/>
  <c r="K51" i="4"/>
  <c r="M51" i="4"/>
  <c r="W51" i="4"/>
  <c r="X51" i="4"/>
  <c r="Z51" i="4"/>
  <c r="AA51" i="4"/>
  <c r="B52" i="4"/>
  <c r="H52" i="4"/>
  <c r="K52" i="4"/>
  <c r="M52" i="4"/>
  <c r="W52" i="4"/>
  <c r="X52" i="4"/>
  <c r="Z52" i="4"/>
  <c r="AA52" i="4"/>
  <c r="F53" i="4"/>
  <c r="H53" i="4"/>
  <c r="K53" i="4"/>
  <c r="M53" i="4"/>
  <c r="W53" i="4"/>
  <c r="X53" i="4"/>
  <c r="Z53" i="4"/>
  <c r="AA53" i="4"/>
  <c r="F54" i="4"/>
  <c r="H54" i="4"/>
  <c r="K54" i="4"/>
  <c r="M54" i="4"/>
  <c r="W54" i="4"/>
  <c r="X54" i="4"/>
  <c r="Z54" i="4"/>
  <c r="AA54" i="4"/>
  <c r="H55" i="4"/>
  <c r="K55" i="4"/>
  <c r="M55" i="4"/>
  <c r="W55" i="4"/>
  <c r="X55" i="4"/>
  <c r="Z55" i="4"/>
  <c r="AA55" i="4"/>
  <c r="H56" i="4"/>
  <c r="K56" i="4"/>
  <c r="M56" i="4"/>
  <c r="W56" i="4"/>
  <c r="X56" i="4"/>
  <c r="Z56" i="4"/>
  <c r="AA56" i="4"/>
  <c r="H57" i="4"/>
  <c r="K57" i="4"/>
  <c r="M57" i="4"/>
  <c r="W57" i="4"/>
  <c r="X57" i="4"/>
  <c r="Z57" i="4"/>
  <c r="AA57" i="4"/>
  <c r="H58" i="4"/>
  <c r="K58" i="4"/>
  <c r="M58" i="4"/>
  <c r="W58" i="4"/>
  <c r="X58" i="4"/>
  <c r="Z58" i="4"/>
  <c r="AA58" i="4"/>
  <c r="E59" i="4"/>
  <c r="H59" i="4"/>
  <c r="K59" i="4"/>
  <c r="M59" i="4"/>
  <c r="W59" i="4"/>
  <c r="X59" i="4"/>
  <c r="Z59" i="4"/>
  <c r="AA59" i="4"/>
  <c r="H60" i="4"/>
  <c r="K60" i="4"/>
  <c r="M60" i="4"/>
  <c r="W60" i="4"/>
  <c r="X60" i="4"/>
  <c r="Z60" i="4"/>
  <c r="AA60" i="4"/>
  <c r="H61" i="4"/>
  <c r="K61" i="4"/>
  <c r="M61" i="4"/>
  <c r="W61" i="4"/>
  <c r="X61" i="4"/>
  <c r="Z61" i="4"/>
  <c r="AA61" i="4"/>
  <c r="H62" i="4"/>
  <c r="K62" i="4"/>
  <c r="M62" i="4"/>
  <c r="W62" i="4"/>
  <c r="X62" i="4"/>
  <c r="Z62" i="4"/>
  <c r="AA62" i="4"/>
  <c r="H63" i="4"/>
  <c r="K63" i="4"/>
  <c r="M63" i="4"/>
  <c r="W63" i="4"/>
  <c r="X63" i="4"/>
  <c r="Z63" i="4"/>
  <c r="AA63" i="4"/>
  <c r="H64" i="4"/>
  <c r="K64" i="4"/>
  <c r="M64" i="4"/>
  <c r="W64" i="4"/>
  <c r="X64" i="4"/>
  <c r="Z64" i="4"/>
  <c r="AA64" i="4"/>
  <c r="H65" i="4"/>
  <c r="K65" i="4"/>
  <c r="M65" i="4"/>
  <c r="W65" i="4"/>
  <c r="X65" i="4"/>
  <c r="Z65" i="4"/>
  <c r="AA65" i="4"/>
  <c r="F57" i="4" l="1"/>
  <c r="E57" i="4"/>
  <c r="B56" i="4"/>
  <c r="E56" i="4"/>
  <c r="B65" i="4"/>
  <c r="E65" i="4"/>
  <c r="F64" i="4"/>
  <c r="E64" i="4"/>
  <c r="B63" i="4"/>
  <c r="E63" i="4"/>
  <c r="B62" i="4"/>
  <c r="E62" i="4"/>
  <c r="B61" i="4"/>
  <c r="E61" i="4"/>
  <c r="B60" i="4"/>
  <c r="E60" i="4"/>
  <c r="B58" i="4"/>
  <c r="E58" i="4"/>
  <c r="B55" i="4"/>
  <c r="E55" i="4"/>
  <c r="Y63" i="4"/>
  <c r="AD63" i="4" s="1"/>
  <c r="F58" i="4"/>
  <c r="AB61" i="4"/>
  <c r="AC61" i="4" s="1"/>
  <c r="Y57" i="4"/>
  <c r="AD57" i="4" s="1"/>
  <c r="Y53" i="4"/>
  <c r="AD53" i="4" s="1"/>
  <c r="Y51" i="4"/>
  <c r="AD51" i="4" s="1"/>
  <c r="Y48" i="4"/>
  <c r="AD48" i="4" s="1"/>
  <c r="Y60" i="4"/>
  <c r="AD60" i="4" s="1"/>
  <c r="AB58" i="4"/>
  <c r="AC58" i="4" s="1"/>
  <c r="F65" i="4"/>
  <c r="Y65" i="4"/>
  <c r="AD65" i="4" s="1"/>
  <c r="Y61" i="4"/>
  <c r="AD61" i="4" s="1"/>
  <c r="F61" i="4"/>
  <c r="Y59" i="4"/>
  <c r="AD59" i="4" s="1"/>
  <c r="F47" i="4"/>
  <c r="B54" i="4"/>
  <c r="Y64" i="4"/>
  <c r="AD64" i="4" s="1"/>
  <c r="B53" i="4"/>
  <c r="AB59" i="4"/>
  <c r="AH59" i="4" s="1"/>
  <c r="P59" i="4" s="1"/>
  <c r="Y55" i="4"/>
  <c r="AD55" i="4" s="1"/>
  <c r="AB51" i="4"/>
  <c r="AC51" i="4" s="1"/>
  <c r="F51" i="4"/>
  <c r="Y50" i="4"/>
  <c r="AD50" i="4" s="1"/>
  <c r="Y49" i="4"/>
  <c r="AD49" i="4" s="1"/>
  <c r="B64" i="4"/>
  <c r="AB47" i="4"/>
  <c r="AH47" i="4" s="1"/>
  <c r="P47" i="4" s="1"/>
  <c r="AB62" i="4"/>
  <c r="AC62" i="4" s="1"/>
  <c r="F62" i="4"/>
  <c r="F59" i="4"/>
  <c r="Y58" i="4"/>
  <c r="AD58" i="4" s="1"/>
  <c r="B57" i="4"/>
  <c r="AB50" i="4"/>
  <c r="AC50" i="4" s="1"/>
  <c r="B49" i="4"/>
  <c r="B59" i="4"/>
  <c r="AB52" i="4"/>
  <c r="AE52" i="4" s="1"/>
  <c r="AF52" i="4" s="1"/>
  <c r="N52" i="4" s="1"/>
  <c r="Q52" i="4" s="1"/>
  <c r="AB56" i="4"/>
  <c r="AG56" i="4" s="1"/>
  <c r="O56" i="4" s="1"/>
  <c r="AB48" i="4"/>
  <c r="AG48" i="4" s="1"/>
  <c r="O48" i="4" s="1"/>
  <c r="AB63" i="4"/>
  <c r="AG63" i="4" s="1"/>
  <c r="O63" i="4" s="1"/>
  <c r="AB57" i="4"/>
  <c r="AH57" i="4" s="1"/>
  <c r="P57" i="4" s="1"/>
  <c r="AB54" i="4"/>
  <c r="AE54" i="4" s="1"/>
  <c r="AF54" i="4" s="1"/>
  <c r="N54" i="4" s="1"/>
  <c r="Q54" i="4" s="1"/>
  <c r="F56" i="4"/>
  <c r="F52" i="4"/>
  <c r="F50" i="4"/>
  <c r="F63" i="4"/>
  <c r="F60" i="4"/>
  <c r="F55" i="4"/>
  <c r="F48" i="4"/>
  <c r="AB60" i="4"/>
  <c r="AE60" i="4" s="1"/>
  <c r="AF60" i="4" s="1"/>
  <c r="N60" i="4" s="1"/>
  <c r="Q60" i="4" s="1"/>
  <c r="AB55" i="4"/>
  <c r="AE55" i="4" s="1"/>
  <c r="AF55" i="4" s="1"/>
  <c r="N55" i="4" s="1"/>
  <c r="Q55" i="4" s="1"/>
  <c r="Y52" i="4"/>
  <c r="AD52" i="4" s="1"/>
  <c r="Y47" i="4"/>
  <c r="AD47" i="4" s="1"/>
  <c r="AB65" i="4"/>
  <c r="AE65" i="4" s="1"/>
  <c r="AF65" i="4" s="1"/>
  <c r="N65" i="4" s="1"/>
  <c r="Q65" i="4" s="1"/>
  <c r="Y62" i="4"/>
  <c r="AD62" i="4" s="1"/>
  <c r="Y56" i="4"/>
  <c r="AD56" i="4" s="1"/>
  <c r="AB49" i="4"/>
  <c r="AB64" i="4"/>
  <c r="AB53" i="4"/>
  <c r="Y54" i="4"/>
  <c r="AD54" i="4" s="1"/>
  <c r="AH58" i="4"/>
  <c r="P58" i="4" s="1"/>
  <c r="AE63" i="4" l="1"/>
  <c r="AF63" i="4" s="1"/>
  <c r="N63" i="4" s="1"/>
  <c r="Q63" i="4" s="1"/>
  <c r="AG47" i="4"/>
  <c r="O47" i="4" s="1"/>
  <c r="AE47" i="4"/>
  <c r="AF47" i="4" s="1"/>
  <c r="N47" i="4" s="1"/>
  <c r="Q47" i="4" s="1"/>
  <c r="AE61" i="4"/>
  <c r="AF61" i="4" s="1"/>
  <c r="N61" i="4" s="1"/>
  <c r="Q61" i="4" s="1"/>
  <c r="AC47" i="4"/>
  <c r="AH61" i="4"/>
  <c r="P61" i="4" s="1"/>
  <c r="AG62" i="4"/>
  <c r="O62" i="4" s="1"/>
  <c r="AE62" i="4"/>
  <c r="AF62" i="4" s="1"/>
  <c r="N62" i="4" s="1"/>
  <c r="Q62" i="4" s="1"/>
  <c r="AG61" i="4"/>
  <c r="O61" i="4" s="1"/>
  <c r="AG59" i="4"/>
  <c r="O59" i="4" s="1"/>
  <c r="AE59" i="4"/>
  <c r="AF59" i="4" s="1"/>
  <c r="N59" i="4" s="1"/>
  <c r="Q59" i="4" s="1"/>
  <c r="AH51" i="4"/>
  <c r="P51" i="4" s="1"/>
  <c r="AE50" i="4"/>
  <c r="AF50" i="4" s="1"/>
  <c r="N50" i="4" s="1"/>
  <c r="Q50" i="4" s="1"/>
  <c r="AH50" i="4"/>
  <c r="P50" i="4" s="1"/>
  <c r="AG51" i="4"/>
  <c r="O51" i="4" s="1"/>
  <c r="AG57" i="4"/>
  <c r="O57" i="4" s="1"/>
  <c r="AC63" i="4"/>
  <c r="AH63" i="4"/>
  <c r="P63" i="4" s="1"/>
  <c r="AE58" i="4"/>
  <c r="AF58" i="4" s="1"/>
  <c r="N58" i="4" s="1"/>
  <c r="Q58" i="4" s="1"/>
  <c r="AH62" i="4"/>
  <c r="P62" i="4" s="1"/>
  <c r="AG58" i="4"/>
  <c r="O58" i="4" s="1"/>
  <c r="AH48" i="4"/>
  <c r="P48" i="4" s="1"/>
  <c r="AC59" i="4"/>
  <c r="AG55" i="4"/>
  <c r="O55" i="4" s="1"/>
  <c r="AE51" i="4"/>
  <c r="AF51" i="4" s="1"/>
  <c r="N51" i="4" s="1"/>
  <c r="Q51" i="4" s="1"/>
  <c r="AH52" i="4"/>
  <c r="P52" i="4" s="1"/>
  <c r="AG50" i="4"/>
  <c r="O50" i="4" s="1"/>
  <c r="AC52" i="4"/>
  <c r="AG52" i="4"/>
  <c r="O52" i="4" s="1"/>
  <c r="AG54" i="4"/>
  <c r="O54" i="4" s="1"/>
  <c r="AH54" i="4"/>
  <c r="P54" i="4" s="1"/>
  <c r="AC54" i="4"/>
  <c r="AE57" i="4"/>
  <c r="AF57" i="4" s="1"/>
  <c r="N57" i="4" s="1"/>
  <c r="Q57" i="4" s="1"/>
  <c r="AE56" i="4"/>
  <c r="AF56" i="4" s="1"/>
  <c r="N56" i="4" s="1"/>
  <c r="Q56" i="4" s="1"/>
  <c r="AH56" i="4"/>
  <c r="P56" i="4" s="1"/>
  <c r="AC57" i="4"/>
  <c r="AC56" i="4"/>
  <c r="AE48" i="4"/>
  <c r="AF48" i="4" s="1"/>
  <c r="N48" i="4" s="1"/>
  <c r="Q48" i="4" s="1"/>
  <c r="AC48" i="4"/>
  <c r="AH53" i="4"/>
  <c r="P53" i="4" s="1"/>
  <c r="AC53" i="4"/>
  <c r="AE53" i="4"/>
  <c r="AF53" i="4" s="1"/>
  <c r="N53" i="4" s="1"/>
  <c r="Q53" i="4" s="1"/>
  <c r="AG53" i="4"/>
  <c r="O53" i="4" s="1"/>
  <c r="AH64" i="4"/>
  <c r="P64" i="4" s="1"/>
  <c r="AC64" i="4"/>
  <c r="AE64" i="4"/>
  <c r="AF64" i="4" s="1"/>
  <c r="N64" i="4" s="1"/>
  <c r="Q64" i="4" s="1"/>
  <c r="AH65" i="4"/>
  <c r="P65" i="4" s="1"/>
  <c r="AC65" i="4"/>
  <c r="AG65" i="4"/>
  <c r="O65" i="4" s="1"/>
  <c r="AG64" i="4"/>
  <c r="O64" i="4" s="1"/>
  <c r="AH60" i="4"/>
  <c r="P60" i="4" s="1"/>
  <c r="AC60" i="4"/>
  <c r="AG49" i="4"/>
  <c r="O49" i="4" s="1"/>
  <c r="AH49" i="4"/>
  <c r="P49" i="4" s="1"/>
  <c r="AC49" i="4"/>
  <c r="AE49" i="4"/>
  <c r="AF49" i="4" s="1"/>
  <c r="N49" i="4" s="1"/>
  <c r="Q49" i="4" s="1"/>
  <c r="AG60" i="4"/>
  <c r="O60" i="4" s="1"/>
  <c r="AC55" i="4"/>
  <c r="AH55" i="4"/>
  <c r="P55" i="4" s="1"/>
  <c r="E23" i="10" l="1"/>
  <c r="G23" i="10"/>
  <c r="E24" i="10"/>
  <c r="G24" i="10"/>
  <c r="E25" i="10"/>
  <c r="G25" i="10"/>
  <c r="E26" i="10"/>
  <c r="G26" i="10"/>
  <c r="E27" i="10"/>
  <c r="G27" i="10"/>
  <c r="E28" i="10"/>
  <c r="G28" i="10"/>
  <c r="F42" i="4"/>
  <c r="F44" i="4"/>
  <c r="F45" i="4"/>
  <c r="F46" i="4"/>
  <c r="A27" i="10"/>
  <c r="A28" i="10"/>
  <c r="F41" i="4"/>
  <c r="F23" i="6"/>
  <c r="G23" i="6"/>
  <c r="M23" i="6"/>
  <c r="Q23" i="6"/>
  <c r="R23" i="6" s="1"/>
  <c r="U23" i="6"/>
  <c r="V23" i="6" s="1"/>
  <c r="Y23" i="6"/>
  <c r="Z23" i="6" s="1"/>
  <c r="AB23" i="6"/>
  <c r="AC23" i="6" s="1"/>
  <c r="AG23" i="6"/>
  <c r="AI23" i="6"/>
  <c r="F24" i="6"/>
  <c r="G24" i="6"/>
  <c r="M24" i="6"/>
  <c r="Q24" i="6"/>
  <c r="R24" i="6" s="1"/>
  <c r="U24" i="6"/>
  <c r="V24" i="6" s="1"/>
  <c r="Y24" i="6"/>
  <c r="Z24" i="6" s="1"/>
  <c r="AB24" i="6"/>
  <c r="AC24" i="6" s="1"/>
  <c r="AG24" i="6"/>
  <c r="AI24" i="6"/>
  <c r="F25" i="6"/>
  <c r="G25" i="6"/>
  <c r="M25" i="6"/>
  <c r="Q25" i="6"/>
  <c r="R25" i="6" s="1"/>
  <c r="U25" i="6"/>
  <c r="V25" i="6" s="1"/>
  <c r="Y25" i="6"/>
  <c r="Z25" i="6" s="1"/>
  <c r="AB25" i="6"/>
  <c r="AC25" i="6" s="1"/>
  <c r="AG25" i="6"/>
  <c r="AI25" i="6"/>
  <c r="F26" i="6"/>
  <c r="G26" i="6"/>
  <c r="M26" i="6"/>
  <c r="Q26" i="6"/>
  <c r="R26" i="6" s="1"/>
  <c r="U26" i="6"/>
  <c r="V26" i="6" s="1"/>
  <c r="Y26" i="6"/>
  <c r="Z26" i="6" s="1"/>
  <c r="AB26" i="6"/>
  <c r="AC26" i="6" s="1"/>
  <c r="AG26" i="6"/>
  <c r="AI26" i="6"/>
  <c r="F27" i="6"/>
  <c r="G27" i="6"/>
  <c r="M27" i="6"/>
  <c r="Q27" i="6"/>
  <c r="R27" i="6" s="1"/>
  <c r="U27" i="6"/>
  <c r="V27" i="6" s="1"/>
  <c r="Y27" i="6"/>
  <c r="Z27" i="6" s="1"/>
  <c r="AB27" i="6"/>
  <c r="AC27" i="6" s="1"/>
  <c r="AG27" i="6"/>
  <c r="AI27" i="6"/>
  <c r="J28" i="10" l="1"/>
  <c r="J24" i="10"/>
  <c r="J27" i="10"/>
  <c r="J25" i="10"/>
  <c r="J23" i="10"/>
  <c r="J26" i="10"/>
  <c r="F43" i="4"/>
  <c r="H25" i="10"/>
  <c r="K25" i="10" s="1"/>
  <c r="H27" i="10"/>
  <c r="K27" i="10" s="1"/>
  <c r="H23" i="10"/>
  <c r="K23" i="10" s="1"/>
  <c r="H26" i="10"/>
  <c r="K26" i="10" s="1"/>
  <c r="H27" i="6"/>
  <c r="AJ27" i="6" s="1"/>
  <c r="AK27" i="6" s="1"/>
  <c r="F25" i="10"/>
  <c r="H28" i="10"/>
  <c r="K28" i="10" s="1"/>
  <c r="F24" i="10"/>
  <c r="F27" i="10"/>
  <c r="A26" i="10"/>
  <c r="H24" i="6"/>
  <c r="AJ24" i="6" s="1"/>
  <c r="AK24" i="6" s="1"/>
  <c r="H24" i="10"/>
  <c r="K24" i="10" s="1"/>
  <c r="H25" i="6"/>
  <c r="AJ25" i="6" s="1"/>
  <c r="AK25" i="6" s="1"/>
  <c r="F28" i="10"/>
  <c r="F26" i="10"/>
  <c r="F23" i="10"/>
  <c r="H23" i="6"/>
  <c r="AJ23" i="6" s="1"/>
  <c r="AK23" i="6" s="1"/>
  <c r="H26" i="6"/>
  <c r="AJ26" i="6" s="1"/>
  <c r="AK26" i="6" s="1"/>
  <c r="N26" i="6"/>
  <c r="AL26" i="6" s="1"/>
  <c r="AM26" i="6" s="1"/>
  <c r="R64" i="4" s="1"/>
  <c r="U64" i="4" s="1"/>
  <c r="N25" i="6"/>
  <c r="AL25" i="6" s="1"/>
  <c r="N24" i="6"/>
  <c r="AL24" i="6" s="1"/>
  <c r="N23" i="6"/>
  <c r="AL23" i="6" s="1"/>
  <c r="N27" i="6"/>
  <c r="AL27" i="6" s="1"/>
  <c r="AM27" i="6" s="1"/>
  <c r="R65" i="4" s="1"/>
  <c r="U65" i="4" s="1"/>
  <c r="G7" i="10"/>
  <c r="G8" i="10"/>
  <c r="G9" i="10"/>
  <c r="G10" i="10"/>
  <c r="G11" i="10"/>
  <c r="G12" i="10"/>
  <c r="G13" i="10"/>
  <c r="G14" i="10"/>
  <c r="G15" i="10"/>
  <c r="G16" i="10"/>
  <c r="G17" i="10"/>
  <c r="G18" i="10"/>
  <c r="G19" i="10"/>
  <c r="G20" i="10"/>
  <c r="G21" i="10"/>
  <c r="G22" i="10"/>
  <c r="E7" i="10"/>
  <c r="E8" i="10"/>
  <c r="E9" i="10"/>
  <c r="E10" i="10"/>
  <c r="E11" i="10"/>
  <c r="E12" i="10"/>
  <c r="E13" i="10"/>
  <c r="E14" i="10"/>
  <c r="E15" i="10"/>
  <c r="E16" i="10"/>
  <c r="E17" i="10"/>
  <c r="E18" i="10"/>
  <c r="E19" i="10"/>
  <c r="E20" i="10"/>
  <c r="E21" i="10"/>
  <c r="E22" i="10"/>
  <c r="A7" i="10"/>
  <c r="A8" i="10"/>
  <c r="A9" i="10"/>
  <c r="A10" i="10"/>
  <c r="A11" i="10"/>
  <c r="A12" i="10"/>
  <c r="A13" i="10"/>
  <c r="A14" i="10"/>
  <c r="A15" i="10"/>
  <c r="A16" i="10"/>
  <c r="A17" i="10"/>
  <c r="A18" i="10"/>
  <c r="A20" i="10"/>
  <c r="A21" i="10"/>
  <c r="A22" i="10"/>
  <c r="A23" i="10"/>
  <c r="A24" i="10"/>
  <c r="A25" i="10"/>
  <c r="F7" i="10" l="1"/>
  <c r="J22" i="10"/>
  <c r="J14" i="10"/>
  <c r="J21" i="10"/>
  <c r="J17" i="10"/>
  <c r="J13" i="10"/>
  <c r="J9" i="10"/>
  <c r="J10" i="10"/>
  <c r="J20" i="10"/>
  <c r="J16" i="10"/>
  <c r="J12" i="10"/>
  <c r="J8" i="10"/>
  <c r="J18" i="10"/>
  <c r="J19" i="10"/>
  <c r="J15" i="10"/>
  <c r="J11" i="10"/>
  <c r="J7" i="10"/>
  <c r="T65" i="4"/>
  <c r="S65" i="4"/>
  <c r="S64" i="4"/>
  <c r="T64" i="4"/>
  <c r="H17" i="10"/>
  <c r="K17" i="10" s="1"/>
  <c r="H9" i="10"/>
  <c r="K9" i="10" s="1"/>
  <c r="H21" i="10"/>
  <c r="K21" i="10" s="1"/>
  <c r="H13" i="10"/>
  <c r="K13" i="10" s="1"/>
  <c r="F10" i="10"/>
  <c r="F17" i="10"/>
  <c r="F19" i="10"/>
  <c r="F15" i="10"/>
  <c r="F11" i="10"/>
  <c r="F6" i="10"/>
  <c r="AM24" i="6"/>
  <c r="R62" i="4" s="1"/>
  <c r="U62" i="4" s="1"/>
  <c r="B27" i="10"/>
  <c r="AM25" i="6"/>
  <c r="R63" i="4" s="1"/>
  <c r="U63" i="4" s="1"/>
  <c r="B28" i="10"/>
  <c r="AM23" i="6"/>
  <c r="R61" i="4" s="1"/>
  <c r="U61" i="4" s="1"/>
  <c r="B26" i="10"/>
  <c r="H22" i="10"/>
  <c r="K22" i="10" s="1"/>
  <c r="H14" i="10"/>
  <c r="K14" i="10" s="1"/>
  <c r="H16" i="10"/>
  <c r="K16" i="10" s="1"/>
  <c r="H8" i="10"/>
  <c r="F18" i="10"/>
  <c r="H10" i="10"/>
  <c r="K10" i="10" s="1"/>
  <c r="F20" i="10"/>
  <c r="F12" i="10"/>
  <c r="H11" i="10"/>
  <c r="K11" i="10" s="1"/>
  <c r="F9" i="10"/>
  <c r="H19" i="10"/>
  <c r="K19" i="10" s="1"/>
  <c r="H18" i="10"/>
  <c r="K18" i="10" s="1"/>
  <c r="H12" i="10"/>
  <c r="K12" i="10" s="1"/>
  <c r="H20" i="10"/>
  <c r="K20" i="10" s="1"/>
  <c r="F16" i="10"/>
  <c r="F8" i="10"/>
  <c r="F22" i="10"/>
  <c r="F14" i="10"/>
  <c r="F21" i="10"/>
  <c r="F13" i="10"/>
  <c r="H15" i="10"/>
  <c r="K15" i="10" s="1"/>
  <c r="H7" i="10"/>
  <c r="K7" i="10" l="1"/>
  <c r="K8" i="10"/>
  <c r="S63" i="4"/>
  <c r="T63" i="4"/>
  <c r="S61" i="4"/>
  <c r="T61" i="4"/>
  <c r="S62" i="4"/>
  <c r="T62" i="4"/>
  <c r="E16" i="4"/>
  <c r="J16" i="4" s="1"/>
  <c r="C28" i="10" l="1"/>
  <c r="D28" i="10" s="1"/>
  <c r="L28" i="10" s="1"/>
  <c r="C27" i="10"/>
  <c r="D27" i="10" s="1"/>
  <c r="L27" i="10" s="1"/>
  <c r="C26" i="10"/>
  <c r="D26" i="10" s="1"/>
  <c r="L26" i="10" s="1"/>
  <c r="AG4" i="6"/>
  <c r="AG5" i="6"/>
  <c r="AG6" i="6"/>
  <c r="AG7" i="6"/>
  <c r="AG8" i="6"/>
  <c r="AG9" i="6"/>
  <c r="AG10" i="6"/>
  <c r="AG11" i="6"/>
  <c r="AG12" i="6"/>
  <c r="AG13" i="6"/>
  <c r="AG14" i="6"/>
  <c r="AG15" i="6"/>
  <c r="AG16" i="6"/>
  <c r="AG17" i="6"/>
  <c r="AG18" i="6"/>
  <c r="AG19" i="6"/>
  <c r="AG20" i="6"/>
  <c r="AG21" i="6"/>
  <c r="AG22" i="6"/>
  <c r="AG3" i="6"/>
  <c r="P4" i="9"/>
  <c r="Q4" i="9" s="1"/>
  <c r="P5" i="9"/>
  <c r="P6" i="9"/>
  <c r="Q6" i="9" s="1"/>
  <c r="P7" i="9"/>
  <c r="Q7" i="9" s="1"/>
  <c r="P8" i="9"/>
  <c r="Q8" i="9" s="1"/>
  <c r="P9" i="9"/>
  <c r="P10" i="9"/>
  <c r="Q10" i="9" s="1"/>
  <c r="P11" i="9"/>
  <c r="Q11" i="9" s="1"/>
  <c r="P12" i="9"/>
  <c r="Q12" i="9" s="1"/>
  <c r="P13" i="9"/>
  <c r="P14" i="9"/>
  <c r="Q14" i="9" s="1"/>
  <c r="P15" i="9"/>
  <c r="Q15" i="9" s="1"/>
  <c r="P16" i="9"/>
  <c r="Q16" i="9" s="1"/>
  <c r="P17" i="9"/>
  <c r="Q17" i="9" s="1"/>
  <c r="P18" i="9"/>
  <c r="Q18" i="9" s="1"/>
  <c r="P19" i="9"/>
  <c r="Q19" i="9" s="1"/>
  <c r="P20" i="9"/>
  <c r="Q20" i="9" s="1"/>
  <c r="P21" i="9"/>
  <c r="P22" i="9"/>
  <c r="Q22" i="9" s="1"/>
  <c r="P23" i="9"/>
  <c r="Q23" i="9" s="1"/>
  <c r="P3" i="9"/>
  <c r="M4" i="9"/>
  <c r="N4" i="9" s="1"/>
  <c r="M5" i="9"/>
  <c r="N5" i="9" s="1"/>
  <c r="M6" i="9"/>
  <c r="N6" i="9" s="1"/>
  <c r="M7" i="9"/>
  <c r="N7" i="9" s="1"/>
  <c r="M8" i="9"/>
  <c r="N8" i="9" s="1"/>
  <c r="M9" i="9"/>
  <c r="N9" i="9" s="1"/>
  <c r="M10" i="9"/>
  <c r="N10" i="9" s="1"/>
  <c r="M11" i="9"/>
  <c r="N11" i="9" s="1"/>
  <c r="M12" i="9"/>
  <c r="N12" i="9" s="1"/>
  <c r="M13" i="9"/>
  <c r="N13" i="9" s="1"/>
  <c r="M14" i="9"/>
  <c r="N14" i="9" s="1"/>
  <c r="M15" i="9"/>
  <c r="N15" i="9" s="1"/>
  <c r="M16" i="9"/>
  <c r="N16" i="9" s="1"/>
  <c r="M17" i="9"/>
  <c r="N17" i="9" s="1"/>
  <c r="M18" i="9"/>
  <c r="N18" i="9" s="1"/>
  <c r="M19" i="9"/>
  <c r="N19" i="9" s="1"/>
  <c r="M20" i="9"/>
  <c r="N20" i="9" s="1"/>
  <c r="M21" i="9"/>
  <c r="N21" i="9" s="1"/>
  <c r="M22" i="9"/>
  <c r="N22" i="9" s="1"/>
  <c r="M23" i="9"/>
  <c r="N23" i="9" s="1"/>
  <c r="M3" i="9"/>
  <c r="J4" i="9"/>
  <c r="T4" i="9"/>
  <c r="U4" i="9" s="1"/>
  <c r="E5" i="9"/>
  <c r="F5" i="9" s="1"/>
  <c r="I5" i="9"/>
  <c r="J5" i="9" s="1"/>
  <c r="Q5" i="9"/>
  <c r="T5" i="9"/>
  <c r="U5" i="9" s="1"/>
  <c r="E6" i="9"/>
  <c r="F6" i="9" s="1"/>
  <c r="I6" i="9"/>
  <c r="J6" i="9" s="1"/>
  <c r="T6" i="9"/>
  <c r="U6" i="9" s="1"/>
  <c r="E7" i="9"/>
  <c r="F7" i="9" s="1"/>
  <c r="I7" i="9"/>
  <c r="J7" i="9" s="1"/>
  <c r="T7" i="9"/>
  <c r="U7" i="9" s="1"/>
  <c r="E8" i="9"/>
  <c r="F8" i="9" s="1"/>
  <c r="I8" i="9"/>
  <c r="J8" i="9" s="1"/>
  <c r="T8" i="9"/>
  <c r="U8" i="9" s="1"/>
  <c r="E9" i="9"/>
  <c r="F9" i="9" s="1"/>
  <c r="I9" i="9"/>
  <c r="J9" i="9" s="1"/>
  <c r="Q9" i="9"/>
  <c r="T9" i="9"/>
  <c r="U9" i="9" s="1"/>
  <c r="E10" i="9"/>
  <c r="F10" i="9" s="1"/>
  <c r="I10" i="9"/>
  <c r="J10" i="9" s="1"/>
  <c r="T10" i="9"/>
  <c r="U10" i="9" s="1"/>
  <c r="E11" i="9"/>
  <c r="F11" i="9" s="1"/>
  <c r="I11" i="9"/>
  <c r="J11" i="9" s="1"/>
  <c r="T11" i="9"/>
  <c r="U11" i="9" s="1"/>
  <c r="E12" i="9"/>
  <c r="F12" i="9" s="1"/>
  <c r="I12" i="9"/>
  <c r="J12" i="9" s="1"/>
  <c r="T12" i="9"/>
  <c r="U12" i="9" s="1"/>
  <c r="E13" i="9"/>
  <c r="F13" i="9" s="1"/>
  <c r="I13" i="9"/>
  <c r="J13" i="9" s="1"/>
  <c r="Q13" i="9"/>
  <c r="T13" i="9"/>
  <c r="U13" i="9" s="1"/>
  <c r="E14" i="9"/>
  <c r="F14" i="9" s="1"/>
  <c r="I14" i="9"/>
  <c r="J14" i="9" s="1"/>
  <c r="T14" i="9"/>
  <c r="U14" i="9" s="1"/>
  <c r="E15" i="9"/>
  <c r="F15" i="9" s="1"/>
  <c r="I15" i="9"/>
  <c r="J15" i="9" s="1"/>
  <c r="T15" i="9"/>
  <c r="U15" i="9" s="1"/>
  <c r="E16" i="9"/>
  <c r="F16" i="9" s="1"/>
  <c r="I16" i="9"/>
  <c r="J16" i="9" s="1"/>
  <c r="T16" i="9"/>
  <c r="U16" i="9" s="1"/>
  <c r="E17" i="9"/>
  <c r="F17" i="9" s="1"/>
  <c r="I17" i="9"/>
  <c r="J17" i="9" s="1"/>
  <c r="T17" i="9"/>
  <c r="U17" i="9" s="1"/>
  <c r="E18" i="9"/>
  <c r="F18" i="9" s="1"/>
  <c r="I18" i="9"/>
  <c r="J18" i="9" s="1"/>
  <c r="T18" i="9"/>
  <c r="U18" i="9" s="1"/>
  <c r="E19" i="9"/>
  <c r="F19" i="9" s="1"/>
  <c r="I19" i="9"/>
  <c r="J19" i="9" s="1"/>
  <c r="T19" i="9"/>
  <c r="U19" i="9" s="1"/>
  <c r="E20" i="9"/>
  <c r="F20" i="9" s="1"/>
  <c r="I20" i="9"/>
  <c r="J20" i="9" s="1"/>
  <c r="T20" i="9"/>
  <c r="U20" i="9" s="1"/>
  <c r="E21" i="9"/>
  <c r="F21" i="9" s="1"/>
  <c r="I21" i="9"/>
  <c r="J21" i="9" s="1"/>
  <c r="Q21" i="9"/>
  <c r="T21" i="9"/>
  <c r="U21" i="9" s="1"/>
  <c r="E22" i="9"/>
  <c r="F22" i="9" s="1"/>
  <c r="I22" i="9"/>
  <c r="J22" i="9" s="1"/>
  <c r="T22" i="9"/>
  <c r="U22" i="9" s="1"/>
  <c r="E23" i="9"/>
  <c r="F23" i="9" s="1"/>
  <c r="I23" i="9"/>
  <c r="J23" i="9" s="1"/>
  <c r="T23" i="9"/>
  <c r="U23" i="9" s="1"/>
  <c r="H16" i="4"/>
  <c r="I16" i="4" s="1"/>
  <c r="H17" i="4"/>
  <c r="I17" i="4" s="1"/>
  <c r="H18" i="4"/>
  <c r="I18" i="4" s="1"/>
  <c r="H19" i="4"/>
  <c r="I19" i="4" s="1"/>
  <c r="H20" i="4"/>
  <c r="I20" i="4" s="1"/>
  <c r="H21" i="4"/>
  <c r="I21" i="4" s="1"/>
  <c r="H22" i="4"/>
  <c r="I22" i="4" s="1"/>
  <c r="H23" i="4"/>
  <c r="I23" i="4" s="1"/>
  <c r="H24" i="4"/>
  <c r="I24" i="4" s="1"/>
  <c r="H25" i="4"/>
  <c r="I25" i="4" s="1"/>
  <c r="H26" i="4"/>
  <c r="I26" i="4" s="1"/>
  <c r="H27" i="4"/>
  <c r="I27" i="4" s="1"/>
  <c r="H28" i="4"/>
  <c r="I28" i="4" s="1"/>
  <c r="H29" i="4"/>
  <c r="I29" i="4" s="1"/>
  <c r="H30" i="4"/>
  <c r="I30" i="4" s="1"/>
  <c r="H31" i="4"/>
  <c r="I31" i="4" s="1"/>
  <c r="H32" i="4"/>
  <c r="I32" i="4" s="1"/>
  <c r="H33" i="4"/>
  <c r="I33" i="4" s="1"/>
  <c r="H34" i="4"/>
  <c r="I34" i="4" s="1"/>
  <c r="H15" i="4"/>
  <c r="F16" i="4"/>
  <c r="K16" i="4" s="1"/>
  <c r="F17" i="4"/>
  <c r="K17" i="4" s="1"/>
  <c r="F18" i="4"/>
  <c r="K18" i="4" s="1"/>
  <c r="F19" i="4"/>
  <c r="K19" i="4" s="1"/>
  <c r="F20" i="4"/>
  <c r="K20" i="4" s="1"/>
  <c r="F21" i="4"/>
  <c r="K21" i="4" s="1"/>
  <c r="F22" i="4"/>
  <c r="K22" i="4" s="1"/>
  <c r="F23" i="4"/>
  <c r="K23" i="4" s="1"/>
  <c r="F24" i="4"/>
  <c r="K24" i="4" s="1"/>
  <c r="F25" i="4"/>
  <c r="K25" i="4" s="1"/>
  <c r="F26" i="4"/>
  <c r="K26" i="4" s="1"/>
  <c r="F27" i="4"/>
  <c r="K27" i="4" s="1"/>
  <c r="F28" i="4"/>
  <c r="K28" i="4" s="1"/>
  <c r="F29" i="4"/>
  <c r="K29" i="4" s="1"/>
  <c r="F30" i="4"/>
  <c r="K30" i="4" s="1"/>
  <c r="F31" i="4"/>
  <c r="K31" i="4" s="1"/>
  <c r="F32" i="4"/>
  <c r="K32" i="4" s="1"/>
  <c r="F33" i="4"/>
  <c r="K33" i="4" s="1"/>
  <c r="F34" i="4"/>
  <c r="K34" i="4" s="1"/>
  <c r="K15" i="4"/>
  <c r="E17" i="4"/>
  <c r="J17" i="4" s="1"/>
  <c r="E18" i="4"/>
  <c r="J18" i="4" s="1"/>
  <c r="E19" i="4"/>
  <c r="J19" i="4" s="1"/>
  <c r="E20" i="4"/>
  <c r="J20" i="4" s="1"/>
  <c r="E21" i="4"/>
  <c r="E22" i="4"/>
  <c r="J22" i="4" s="1"/>
  <c r="E23" i="4"/>
  <c r="J23" i="4" s="1"/>
  <c r="E24" i="4"/>
  <c r="E25" i="4"/>
  <c r="J25" i="4" s="1"/>
  <c r="E26" i="4"/>
  <c r="J26" i="4" s="1"/>
  <c r="E27" i="4"/>
  <c r="J27" i="4" s="1"/>
  <c r="E28" i="4"/>
  <c r="J28" i="4" s="1"/>
  <c r="E29" i="4"/>
  <c r="E30" i="4"/>
  <c r="J30" i="4" s="1"/>
  <c r="E31" i="4"/>
  <c r="J31" i="4" s="1"/>
  <c r="E32" i="4"/>
  <c r="E33" i="4"/>
  <c r="J33" i="4" s="1"/>
  <c r="E34" i="4"/>
  <c r="J34" i="4" s="1"/>
  <c r="E15" i="4"/>
  <c r="J15" i="4" s="1"/>
  <c r="B18" i="4"/>
  <c r="B19" i="4"/>
  <c r="B20" i="4"/>
  <c r="B21" i="4"/>
  <c r="B22" i="4"/>
  <c r="B23" i="4"/>
  <c r="B24" i="4"/>
  <c r="B25" i="4"/>
  <c r="B26" i="4"/>
  <c r="B27" i="4"/>
  <c r="B28" i="4"/>
  <c r="B29" i="4"/>
  <c r="B30" i="4"/>
  <c r="B31" i="4"/>
  <c r="B32" i="4"/>
  <c r="B33" i="4"/>
  <c r="B34" i="4"/>
  <c r="F5" i="6"/>
  <c r="F6" i="6"/>
  <c r="F7" i="6"/>
  <c r="F8" i="6"/>
  <c r="F9" i="6"/>
  <c r="F10" i="6"/>
  <c r="F11" i="6"/>
  <c r="F12" i="6"/>
  <c r="F13" i="6"/>
  <c r="F14" i="6"/>
  <c r="F15" i="6"/>
  <c r="F16" i="6"/>
  <c r="F17" i="6"/>
  <c r="F18" i="6"/>
  <c r="F19" i="6"/>
  <c r="F20" i="6"/>
  <c r="F21" i="6"/>
  <c r="F22" i="6"/>
  <c r="G4" i="6"/>
  <c r="G5" i="6"/>
  <c r="G6" i="6"/>
  <c r="G7" i="6"/>
  <c r="G8" i="6"/>
  <c r="G9" i="6"/>
  <c r="G10" i="6"/>
  <c r="G11" i="6"/>
  <c r="G12" i="6"/>
  <c r="G13" i="6"/>
  <c r="G14" i="6"/>
  <c r="G15" i="6"/>
  <c r="G16" i="6"/>
  <c r="G17" i="6"/>
  <c r="G18" i="6"/>
  <c r="G19" i="6"/>
  <c r="G20" i="6"/>
  <c r="G21" i="6"/>
  <c r="G22" i="6"/>
  <c r="G3" i="6"/>
  <c r="M4" i="6"/>
  <c r="M5" i="6"/>
  <c r="M6" i="6"/>
  <c r="M7" i="6"/>
  <c r="M8" i="6"/>
  <c r="M9" i="6"/>
  <c r="M10" i="6"/>
  <c r="M11" i="6"/>
  <c r="M12" i="6"/>
  <c r="M13" i="6"/>
  <c r="M14" i="6"/>
  <c r="M15" i="6"/>
  <c r="M16" i="6"/>
  <c r="M17" i="6"/>
  <c r="M18" i="6"/>
  <c r="M19" i="6"/>
  <c r="M20" i="6"/>
  <c r="M21" i="6"/>
  <c r="M22" i="6"/>
  <c r="M3" i="6"/>
  <c r="J29" i="4" l="1"/>
  <c r="O29" i="4" s="1"/>
  <c r="Q29" i="4" s="1"/>
  <c r="J21" i="4"/>
  <c r="O21" i="4" s="1"/>
  <c r="Q21" i="4" s="1"/>
  <c r="J32" i="4"/>
  <c r="O32" i="4" s="1"/>
  <c r="Q32" i="4" s="1"/>
  <c r="J24" i="4"/>
  <c r="O24" i="4" s="1"/>
  <c r="Q24" i="4" s="1"/>
  <c r="O28" i="4"/>
  <c r="Q28" i="4" s="1"/>
  <c r="O20" i="4"/>
  <c r="Q20" i="4" s="1"/>
  <c r="O33" i="4"/>
  <c r="Q33" i="4" s="1"/>
  <c r="O25" i="4"/>
  <c r="Q25" i="4" s="1"/>
  <c r="O17" i="4"/>
  <c r="Q17" i="4" s="1"/>
  <c r="O34" i="4"/>
  <c r="Q34" i="4" s="1"/>
  <c r="O26" i="4"/>
  <c r="Q26" i="4" s="1"/>
  <c r="O18" i="4"/>
  <c r="Q18" i="4" s="1"/>
  <c r="O27" i="4"/>
  <c r="Q27" i="4" s="1"/>
  <c r="O19" i="4"/>
  <c r="Q19" i="4" s="1"/>
  <c r="O30" i="4"/>
  <c r="Q30" i="4" s="1"/>
  <c r="V22" i="9"/>
  <c r="W22" i="9" s="1"/>
  <c r="X17" i="9"/>
  <c r="Y17" i="9" s="1"/>
  <c r="X15" i="9"/>
  <c r="Y15" i="9" s="1"/>
  <c r="X13" i="9"/>
  <c r="Y13" i="9" s="1"/>
  <c r="X21" i="9"/>
  <c r="Y21" i="9" s="1"/>
  <c r="V20" i="9"/>
  <c r="W20" i="9" s="1"/>
  <c r="V19" i="9"/>
  <c r="W19" i="9" s="1"/>
  <c r="X19" i="9"/>
  <c r="Y19" i="9" s="1"/>
  <c r="V21" i="9"/>
  <c r="W21" i="9" s="1"/>
  <c r="V17" i="9"/>
  <c r="W17" i="9" s="1"/>
  <c r="X7" i="9"/>
  <c r="Y7" i="9" s="1"/>
  <c r="V18" i="9"/>
  <c r="W18" i="9" s="1"/>
  <c r="X18" i="9"/>
  <c r="Y18" i="9" s="1"/>
  <c r="V16" i="9"/>
  <c r="W16" i="9" s="1"/>
  <c r="X16" i="9"/>
  <c r="Y16" i="9" s="1"/>
  <c r="V14" i="9"/>
  <c r="W14" i="9" s="1"/>
  <c r="X14" i="9"/>
  <c r="Y14" i="9" s="1"/>
  <c r="V6" i="9"/>
  <c r="W6" i="9" s="1"/>
  <c r="X6" i="9"/>
  <c r="Y6" i="9" s="1"/>
  <c r="V5" i="9"/>
  <c r="W5" i="9" s="1"/>
  <c r="O31" i="4"/>
  <c r="Q31" i="4" s="1"/>
  <c r="O15" i="4"/>
  <c r="X22" i="9"/>
  <c r="Y22" i="9" s="1"/>
  <c r="X20" i="9"/>
  <c r="Y20" i="9" s="1"/>
  <c r="V23" i="9"/>
  <c r="W23" i="9" s="1"/>
  <c r="X23" i="9"/>
  <c r="Y23" i="9" s="1"/>
  <c r="V13" i="9"/>
  <c r="W13" i="9" s="1"/>
  <c r="O23" i="4"/>
  <c r="Q23" i="4" s="1"/>
  <c r="V15" i="9"/>
  <c r="W15" i="9" s="1"/>
  <c r="V12" i="9"/>
  <c r="W12" i="9" s="1"/>
  <c r="X12" i="9"/>
  <c r="Y12" i="9" s="1"/>
  <c r="V11" i="9"/>
  <c r="W11" i="9" s="1"/>
  <c r="X5" i="9"/>
  <c r="Y5" i="9" s="1"/>
  <c r="V4" i="9"/>
  <c r="W4" i="9" s="1"/>
  <c r="X4" i="9"/>
  <c r="Y4" i="9" s="1"/>
  <c r="X11" i="9"/>
  <c r="Y11" i="9" s="1"/>
  <c r="V10" i="9"/>
  <c r="W10" i="9" s="1"/>
  <c r="X10" i="9"/>
  <c r="Y10" i="9" s="1"/>
  <c r="V9" i="9"/>
  <c r="W9" i="9" s="1"/>
  <c r="O22" i="4"/>
  <c r="Q22" i="4" s="1"/>
  <c r="X9" i="9"/>
  <c r="Y9" i="9" s="1"/>
  <c r="V8" i="9"/>
  <c r="W8" i="9" s="1"/>
  <c r="X8" i="9"/>
  <c r="Y8" i="9" s="1"/>
  <c r="V7" i="9"/>
  <c r="W7" i="9" s="1"/>
  <c r="O16" i="4"/>
  <c r="N18" i="6"/>
  <c r="N14" i="6"/>
  <c r="N10" i="6"/>
  <c r="N8" i="6"/>
  <c r="N6" i="6"/>
  <c r="H5" i="6"/>
  <c r="H6" i="6"/>
  <c r="H7" i="6"/>
  <c r="H8" i="6"/>
  <c r="H9" i="6"/>
  <c r="H10" i="6"/>
  <c r="H12" i="6"/>
  <c r="H13" i="6"/>
  <c r="H14" i="6"/>
  <c r="H15" i="6"/>
  <c r="H16" i="6"/>
  <c r="H17" i="6"/>
  <c r="H18" i="6"/>
  <c r="H19" i="6"/>
  <c r="H20" i="6"/>
  <c r="H21" i="6"/>
  <c r="H22" i="6"/>
  <c r="AA42" i="4"/>
  <c r="AA43" i="4"/>
  <c r="AA44" i="4"/>
  <c r="AA45" i="4"/>
  <c r="AA46" i="4"/>
  <c r="AA41" i="4"/>
  <c r="W42" i="4"/>
  <c r="Z42" i="4"/>
  <c r="W43" i="4"/>
  <c r="Z43" i="4"/>
  <c r="W44" i="4"/>
  <c r="Z44" i="4"/>
  <c r="W45" i="4"/>
  <c r="Z45" i="4"/>
  <c r="W46" i="4"/>
  <c r="Z46" i="4"/>
  <c r="K41" i="4"/>
  <c r="Z41" i="4"/>
  <c r="W41" i="4"/>
  <c r="X43" i="4" l="1"/>
  <c r="Y43" i="4" s="1"/>
  <c r="AD43" i="4" s="1"/>
  <c r="R33" i="4"/>
  <c r="U33" i="4" s="1"/>
  <c r="R31" i="4"/>
  <c r="U31" i="4" s="1"/>
  <c r="T31" i="4" s="1"/>
  <c r="X45" i="4"/>
  <c r="Y45" i="4" s="1"/>
  <c r="AD45" i="4" s="1"/>
  <c r="R34" i="4"/>
  <c r="U34" i="4" s="1"/>
  <c r="T34" i="4" s="1"/>
  <c r="R18" i="4"/>
  <c r="U18" i="4" s="1"/>
  <c r="T18" i="4" s="1"/>
  <c r="R28" i="4"/>
  <c r="U28" i="4" s="1"/>
  <c r="S28" i="4" s="1"/>
  <c r="X41" i="4"/>
  <c r="X42" i="4"/>
  <c r="Y42" i="4" s="1"/>
  <c r="AD42" i="4" s="1"/>
  <c r="AB44" i="4"/>
  <c r="AC44" i="4" s="1"/>
  <c r="AB46" i="4"/>
  <c r="AC46" i="4" s="1"/>
  <c r="AB45" i="4"/>
  <c r="X46" i="4"/>
  <c r="Y46" i="4" s="1"/>
  <c r="AD46" i="4" s="1"/>
  <c r="X44" i="4"/>
  <c r="Y44" i="4" s="1"/>
  <c r="AD44" i="4" s="1"/>
  <c r="AB43" i="4"/>
  <c r="R24" i="4"/>
  <c r="U24" i="4" s="1"/>
  <c r="T24" i="4" s="1"/>
  <c r="R27" i="4"/>
  <c r="U27" i="4" s="1"/>
  <c r="T27" i="4" s="1"/>
  <c r="R30" i="4"/>
  <c r="U30" i="4" s="1"/>
  <c r="T30" i="4" s="1"/>
  <c r="R32" i="4"/>
  <c r="U32" i="4" s="1"/>
  <c r="S32" i="4" s="1"/>
  <c r="R29" i="4"/>
  <c r="U29" i="4" s="1"/>
  <c r="T29" i="4" s="1"/>
  <c r="R17" i="4"/>
  <c r="U17" i="4" s="1"/>
  <c r="T17" i="4" s="1"/>
  <c r="R20" i="4"/>
  <c r="U20" i="4" s="1"/>
  <c r="S20" i="4" s="1"/>
  <c r="R19" i="4"/>
  <c r="U19" i="4" s="1"/>
  <c r="T19" i="4" s="1"/>
  <c r="R25" i="4"/>
  <c r="U25" i="4" s="1"/>
  <c r="S25" i="4" s="1"/>
  <c r="R22" i="4"/>
  <c r="U22" i="4" s="1"/>
  <c r="S22" i="4" s="1"/>
  <c r="R23" i="4"/>
  <c r="U23" i="4" s="1"/>
  <c r="T23" i="4" s="1"/>
  <c r="R21" i="4"/>
  <c r="U21" i="4" s="1"/>
  <c r="S21" i="4" s="1"/>
  <c r="R26" i="4"/>
  <c r="U26" i="4" s="1"/>
  <c r="S26" i="4" s="1"/>
  <c r="Q16" i="4"/>
  <c r="S33" i="4"/>
  <c r="T33" i="4"/>
  <c r="H11" i="6"/>
  <c r="N3" i="6"/>
  <c r="N22" i="6"/>
  <c r="N21" i="6"/>
  <c r="N17" i="6"/>
  <c r="N13" i="6"/>
  <c r="N9" i="6"/>
  <c r="AB41" i="4"/>
  <c r="N20" i="6"/>
  <c r="N16" i="6"/>
  <c r="N12" i="6"/>
  <c r="N19" i="6"/>
  <c r="N15" i="6"/>
  <c r="N11" i="6"/>
  <c r="N7" i="6"/>
  <c r="AB42" i="4"/>
  <c r="AI4" i="6"/>
  <c r="AI5" i="6"/>
  <c r="AI6" i="6"/>
  <c r="AI7" i="6"/>
  <c r="AI8" i="6"/>
  <c r="AI9" i="6"/>
  <c r="AI10" i="6"/>
  <c r="AI11" i="6"/>
  <c r="AI12" i="6"/>
  <c r="AI13" i="6"/>
  <c r="AI14" i="6"/>
  <c r="AI15" i="6"/>
  <c r="AI16" i="6"/>
  <c r="AI17" i="6"/>
  <c r="AI18" i="6"/>
  <c r="AI19" i="6"/>
  <c r="AI20" i="6"/>
  <c r="AI21" i="6"/>
  <c r="AI22" i="6"/>
  <c r="AI3" i="6"/>
  <c r="AB13" i="6"/>
  <c r="AC13" i="6" s="1"/>
  <c r="AB14" i="6"/>
  <c r="AC14" i="6" s="1"/>
  <c r="AB15" i="6"/>
  <c r="AC15" i="6" s="1"/>
  <c r="AB16" i="6"/>
  <c r="AC16" i="6" s="1"/>
  <c r="AB17" i="6"/>
  <c r="AC17" i="6" s="1"/>
  <c r="AB18" i="6"/>
  <c r="AC18" i="6" s="1"/>
  <c r="AB19" i="6"/>
  <c r="AC19" i="6" s="1"/>
  <c r="AB20" i="6"/>
  <c r="AC20" i="6" s="1"/>
  <c r="AB21" i="6"/>
  <c r="AC21" i="6" s="1"/>
  <c r="AB22" i="6"/>
  <c r="AC22" i="6" s="1"/>
  <c r="AB4" i="6"/>
  <c r="AC4" i="6" s="1"/>
  <c r="AB5" i="6"/>
  <c r="AC5" i="6" s="1"/>
  <c r="AB6" i="6"/>
  <c r="AC6" i="6" s="1"/>
  <c r="AB7" i="6"/>
  <c r="AC7" i="6" s="1"/>
  <c r="AB8" i="6"/>
  <c r="AC8" i="6" s="1"/>
  <c r="AB9" i="6"/>
  <c r="AC9" i="6" s="1"/>
  <c r="AB10" i="6"/>
  <c r="AC10" i="6" s="1"/>
  <c r="AB11" i="6"/>
  <c r="AC11" i="6" s="1"/>
  <c r="AB12" i="6"/>
  <c r="AC12" i="6" s="1"/>
  <c r="Y13" i="6"/>
  <c r="Z13" i="6" s="1"/>
  <c r="Y14" i="6"/>
  <c r="Z14" i="6" s="1"/>
  <c r="Y15" i="6"/>
  <c r="Z15" i="6" s="1"/>
  <c r="Y16" i="6"/>
  <c r="Z16" i="6" s="1"/>
  <c r="Y17" i="6"/>
  <c r="Z17" i="6" s="1"/>
  <c r="Y18" i="6"/>
  <c r="Z18" i="6" s="1"/>
  <c r="Y19" i="6"/>
  <c r="Z19" i="6" s="1"/>
  <c r="Y20" i="6"/>
  <c r="Z20" i="6" s="1"/>
  <c r="Y21" i="6"/>
  <c r="Z21" i="6" s="1"/>
  <c r="Y22" i="6"/>
  <c r="Z22" i="6" s="1"/>
  <c r="Y4" i="6"/>
  <c r="Z4" i="6" s="1"/>
  <c r="Y5" i="6"/>
  <c r="Z5" i="6" s="1"/>
  <c r="Y6" i="6"/>
  <c r="Z6" i="6" s="1"/>
  <c r="Y7" i="6"/>
  <c r="Z7" i="6" s="1"/>
  <c r="Y8" i="6"/>
  <c r="Z8" i="6" s="1"/>
  <c r="Y9" i="6"/>
  <c r="Z9" i="6" s="1"/>
  <c r="Y10" i="6"/>
  <c r="Z10" i="6" s="1"/>
  <c r="Y11" i="6"/>
  <c r="Z11" i="6" s="1"/>
  <c r="Y12" i="6"/>
  <c r="Z12" i="6" s="1"/>
  <c r="U4" i="6"/>
  <c r="V4" i="6" s="1"/>
  <c r="U5" i="6"/>
  <c r="V5" i="6" s="1"/>
  <c r="U6" i="6"/>
  <c r="V6" i="6" s="1"/>
  <c r="U7" i="6"/>
  <c r="V7" i="6" s="1"/>
  <c r="U8" i="6"/>
  <c r="V8" i="6" s="1"/>
  <c r="U9" i="6"/>
  <c r="V9" i="6" s="1"/>
  <c r="U10" i="6"/>
  <c r="V10" i="6" s="1"/>
  <c r="U11" i="6"/>
  <c r="V11" i="6" s="1"/>
  <c r="U12" i="6"/>
  <c r="V12" i="6" s="1"/>
  <c r="U13" i="6"/>
  <c r="V13" i="6" s="1"/>
  <c r="U14" i="6"/>
  <c r="V14" i="6" s="1"/>
  <c r="U15" i="6"/>
  <c r="V15" i="6" s="1"/>
  <c r="U16" i="6"/>
  <c r="V16" i="6" s="1"/>
  <c r="U17" i="6"/>
  <c r="V17" i="6" s="1"/>
  <c r="U18" i="6"/>
  <c r="V18" i="6" s="1"/>
  <c r="U19" i="6"/>
  <c r="V19" i="6" s="1"/>
  <c r="U20" i="6"/>
  <c r="V20" i="6" s="1"/>
  <c r="U21" i="6"/>
  <c r="V21" i="6" s="1"/>
  <c r="U22" i="6"/>
  <c r="V22" i="6" s="1"/>
  <c r="Q4" i="6"/>
  <c r="R4" i="6" s="1"/>
  <c r="Q5" i="6"/>
  <c r="R5" i="6" s="1"/>
  <c r="Q6" i="6"/>
  <c r="R6" i="6" s="1"/>
  <c r="Q7" i="6"/>
  <c r="R7" i="6" s="1"/>
  <c r="Q8" i="6"/>
  <c r="R8" i="6" s="1"/>
  <c r="Q9" i="6"/>
  <c r="R9" i="6" s="1"/>
  <c r="Q10" i="6"/>
  <c r="R10" i="6" s="1"/>
  <c r="Q11" i="6"/>
  <c r="R11" i="6" s="1"/>
  <c r="Q12" i="6"/>
  <c r="R12" i="6" s="1"/>
  <c r="Q13" i="6"/>
  <c r="R13" i="6" s="1"/>
  <c r="Q14" i="6"/>
  <c r="R14" i="6" s="1"/>
  <c r="Q15" i="6"/>
  <c r="R15" i="6" s="1"/>
  <c r="Q16" i="6"/>
  <c r="R16" i="6" s="1"/>
  <c r="Q17" i="6"/>
  <c r="R17" i="6" s="1"/>
  <c r="Q18" i="6"/>
  <c r="R18" i="6" s="1"/>
  <c r="Q19" i="6"/>
  <c r="R19" i="6" s="1"/>
  <c r="Q20" i="6"/>
  <c r="R20" i="6" s="1"/>
  <c r="Q21" i="6"/>
  <c r="R21" i="6" s="1"/>
  <c r="Q22" i="6"/>
  <c r="R22" i="6" s="1"/>
  <c r="H46" i="4"/>
  <c r="K46" i="4"/>
  <c r="M46" i="4"/>
  <c r="K42" i="4"/>
  <c r="M42" i="4"/>
  <c r="H43" i="4"/>
  <c r="K43" i="4"/>
  <c r="M43" i="4"/>
  <c r="H44" i="4"/>
  <c r="K44" i="4"/>
  <c r="M44" i="4"/>
  <c r="H45" i="4"/>
  <c r="K45" i="4"/>
  <c r="M45" i="4"/>
  <c r="AE43" i="4" l="1"/>
  <c r="AF43" i="4" s="1"/>
  <c r="N43" i="4" s="1"/>
  <c r="S31" i="4"/>
  <c r="S34" i="4"/>
  <c r="S18" i="4"/>
  <c r="AG45" i="4"/>
  <c r="O45" i="4" s="1"/>
  <c r="AG42" i="4"/>
  <c r="O42" i="4" s="1"/>
  <c r="T28" i="4"/>
  <c r="AE45" i="4"/>
  <c r="AF45" i="4" s="1"/>
  <c r="N45" i="4" s="1"/>
  <c r="Q45" i="4" s="1"/>
  <c r="AC45" i="4"/>
  <c r="AE46" i="4"/>
  <c r="AF46" i="4" s="1"/>
  <c r="N46" i="4" s="1"/>
  <c r="Q46" i="4" s="1"/>
  <c r="AG44" i="4"/>
  <c r="O44" i="4" s="1"/>
  <c r="AG46" i="4"/>
  <c r="O46" i="4" s="1"/>
  <c r="AH44" i="4"/>
  <c r="P44" i="4" s="1"/>
  <c r="AH45" i="4"/>
  <c r="P45" i="4" s="1"/>
  <c r="AH46" i="4"/>
  <c r="P46" i="4" s="1"/>
  <c r="AE44" i="4"/>
  <c r="AF44" i="4" s="1"/>
  <c r="N44" i="4" s="1"/>
  <c r="Q44" i="4" s="1"/>
  <c r="AC43" i="4"/>
  <c r="Q43" i="4"/>
  <c r="AH43" i="4"/>
  <c r="P43" i="4" s="1"/>
  <c r="AG43" i="4"/>
  <c r="O43" i="4" s="1"/>
  <c r="S30" i="4"/>
  <c r="S24" i="4"/>
  <c r="S19" i="4"/>
  <c r="S27" i="4"/>
  <c r="T32" i="4"/>
  <c r="S29" i="4"/>
  <c r="S17" i="4"/>
  <c r="T20" i="4"/>
  <c r="T25" i="4"/>
  <c r="S23" i="4"/>
  <c r="T21" i="4"/>
  <c r="T22" i="4"/>
  <c r="R16" i="4"/>
  <c r="U16" i="4" s="1"/>
  <c r="T16" i="4" s="1"/>
  <c r="T26" i="4"/>
  <c r="AH41" i="4"/>
  <c r="P41" i="4" s="1"/>
  <c r="AG41" i="4"/>
  <c r="O41" i="4" s="1"/>
  <c r="AC42" i="4"/>
  <c r="AE42" i="4"/>
  <c r="AF42" i="4" s="1"/>
  <c r="N42" i="4" s="1"/>
  <c r="Q42" i="4" s="1"/>
  <c r="AH42" i="4"/>
  <c r="P42" i="4" s="1"/>
  <c r="Y41" i="4"/>
  <c r="AD41" i="4" s="1"/>
  <c r="AE41" i="4"/>
  <c r="AF41" i="4" s="1"/>
  <c r="N41" i="4" s="1"/>
  <c r="AC41" i="4"/>
  <c r="H3" i="6"/>
  <c r="N5" i="6" l="1"/>
  <c r="AL5" i="6" s="1"/>
  <c r="B8" i="10" s="1"/>
  <c r="F4" i="6"/>
  <c r="H4" i="6" s="1"/>
  <c r="N4" i="6"/>
  <c r="AL4" i="6" s="1"/>
  <c r="B7" i="10" s="1"/>
  <c r="S16" i="4"/>
  <c r="AL9" i="6"/>
  <c r="B12" i="10" s="1"/>
  <c r="AL13" i="6"/>
  <c r="AL17" i="6"/>
  <c r="AL21" i="6"/>
  <c r="AL6" i="6"/>
  <c r="B9" i="10" s="1"/>
  <c r="AL10" i="6"/>
  <c r="B13" i="10" s="1"/>
  <c r="AL14" i="6"/>
  <c r="AL22" i="6"/>
  <c r="AL7" i="6"/>
  <c r="B10" i="10" s="1"/>
  <c r="AL11" i="6"/>
  <c r="B14" i="10" s="1"/>
  <c r="AL15" i="6"/>
  <c r="AL19" i="6"/>
  <c r="AL8" i="6"/>
  <c r="B11" i="10" s="1"/>
  <c r="AL12" i="6"/>
  <c r="B15" i="10" s="1"/>
  <c r="AL16" i="6"/>
  <c r="AL20" i="6"/>
  <c r="AL18" i="6"/>
  <c r="AM20" i="6" l="1"/>
  <c r="R58" i="4" s="1"/>
  <c r="U58" i="4" s="1"/>
  <c r="B23" i="10"/>
  <c r="AM22" i="6"/>
  <c r="R60" i="4" s="1"/>
  <c r="U60" i="4" s="1"/>
  <c r="B25" i="10"/>
  <c r="AM21" i="6"/>
  <c r="R59" i="4" s="1"/>
  <c r="U59" i="4" s="1"/>
  <c r="B24" i="10"/>
  <c r="AM15" i="6"/>
  <c r="R53" i="4" s="1"/>
  <c r="U53" i="4" s="1"/>
  <c r="B18" i="10"/>
  <c r="AM17" i="6"/>
  <c r="R55" i="4" s="1"/>
  <c r="U55" i="4" s="1"/>
  <c r="B20" i="10"/>
  <c r="AM13" i="6"/>
  <c r="R51" i="4" s="1"/>
  <c r="U51" i="4" s="1"/>
  <c r="B16" i="10"/>
  <c r="AM18" i="6"/>
  <c r="R56" i="4" s="1"/>
  <c r="U56" i="4" s="1"/>
  <c r="B21" i="10"/>
  <c r="AM14" i="6"/>
  <c r="R52" i="4" s="1"/>
  <c r="U52" i="4" s="1"/>
  <c r="B17" i="10"/>
  <c r="AM16" i="6"/>
  <c r="R54" i="4" s="1"/>
  <c r="U54" i="4" s="1"/>
  <c r="B19" i="10"/>
  <c r="AM19" i="6"/>
  <c r="R57" i="4" s="1"/>
  <c r="U57" i="4" s="1"/>
  <c r="B22" i="10"/>
  <c r="AJ13" i="6"/>
  <c r="AK13" i="6" s="1"/>
  <c r="AJ21" i="6"/>
  <c r="AK21" i="6" s="1"/>
  <c r="AJ22" i="6"/>
  <c r="AK22" i="6" s="1"/>
  <c r="AJ17" i="6"/>
  <c r="AK17" i="6" s="1"/>
  <c r="AJ20" i="6"/>
  <c r="AK20" i="6" s="1"/>
  <c r="AJ18" i="6"/>
  <c r="AK18" i="6" s="1"/>
  <c r="AJ19" i="6"/>
  <c r="AK19" i="6" s="1"/>
  <c r="AJ16" i="6"/>
  <c r="AK16" i="6" s="1"/>
  <c r="AJ15" i="6"/>
  <c r="AK15" i="6" s="1"/>
  <c r="AJ14" i="6"/>
  <c r="AK14" i="6" s="1"/>
  <c r="Q3" i="6"/>
  <c r="T51" i="4" l="1"/>
  <c r="S51" i="4"/>
  <c r="T57" i="4"/>
  <c r="S57" i="4"/>
  <c r="T52" i="4"/>
  <c r="S52" i="4"/>
  <c r="T53" i="4"/>
  <c r="S53" i="4"/>
  <c r="T60" i="4"/>
  <c r="S60" i="4"/>
  <c r="T54" i="4"/>
  <c r="S54" i="4"/>
  <c r="S56" i="4"/>
  <c r="T56" i="4"/>
  <c r="T55" i="4"/>
  <c r="S55" i="4"/>
  <c r="T59" i="4"/>
  <c r="S59" i="4"/>
  <c r="T58" i="4"/>
  <c r="S58" i="4"/>
  <c r="C25" i="10"/>
  <c r="D25" i="10" s="1"/>
  <c r="L25" i="10" s="1"/>
  <c r="C21" i="10"/>
  <c r="D21" i="10" s="1"/>
  <c r="L21" i="10" s="1"/>
  <c r="C23" i="10"/>
  <c r="D23" i="10" s="1"/>
  <c r="L23" i="10" s="1"/>
  <c r="C24" i="10"/>
  <c r="D24" i="10" s="1"/>
  <c r="L24" i="10" s="1"/>
  <c r="C16" i="10"/>
  <c r="D16" i="10" s="1"/>
  <c r="L16" i="10" s="1"/>
  <c r="C18" i="10"/>
  <c r="D18" i="10" s="1"/>
  <c r="L18" i="10" s="1"/>
  <c r="C17" i="10"/>
  <c r="D17" i="10" s="1"/>
  <c r="L17" i="10" s="1"/>
  <c r="C22" i="10"/>
  <c r="D22" i="10" s="1"/>
  <c r="L22" i="10" s="1"/>
  <c r="C20" i="10"/>
  <c r="D20" i="10" s="1"/>
  <c r="L20" i="10" s="1"/>
  <c r="C19" i="10"/>
  <c r="D19" i="10" s="1"/>
  <c r="L19" i="10" s="1"/>
  <c r="T3" i="9"/>
  <c r="U3" i="9" s="1"/>
  <c r="Q3" i="9"/>
  <c r="I3" i="9"/>
  <c r="J3" i="9" s="1"/>
  <c r="E3" i="9"/>
  <c r="N3" i="9" l="1"/>
  <c r="X3" i="9" s="1"/>
  <c r="F3" i="9"/>
  <c r="AB3" i="6"/>
  <c r="AC3" i="6" s="1"/>
  <c r="Y3" i="6"/>
  <c r="Z3" i="6" s="1"/>
  <c r="U3" i="6"/>
  <c r="V3" i="6" s="1"/>
  <c r="R3" i="6"/>
  <c r="V3" i="9" l="1"/>
  <c r="W3" i="9" s="1"/>
  <c r="AJ9" i="6"/>
  <c r="AK9" i="6" s="1"/>
  <c r="AJ5" i="6"/>
  <c r="AK5" i="6" s="1"/>
  <c r="AJ12" i="6"/>
  <c r="AK12" i="6" s="1"/>
  <c r="AJ8" i="6"/>
  <c r="AK8" i="6" s="1"/>
  <c r="AJ4" i="6"/>
  <c r="AK4" i="6" s="1"/>
  <c r="AJ11" i="6"/>
  <c r="AK11" i="6" s="1"/>
  <c r="AJ7" i="6"/>
  <c r="AK7" i="6" s="1"/>
  <c r="AJ10" i="6"/>
  <c r="AK10" i="6" s="1"/>
  <c r="AJ6" i="6"/>
  <c r="AK6" i="6" s="1"/>
  <c r="AL3" i="6"/>
  <c r="AJ3" i="6"/>
  <c r="AM7" i="6"/>
  <c r="R45" i="4" s="1"/>
  <c r="AM9" i="6"/>
  <c r="R47" i="4" s="1"/>
  <c r="U47" i="4" s="1"/>
  <c r="AM5" i="6"/>
  <c r="R43" i="4" s="1"/>
  <c r="AM11" i="6"/>
  <c r="R49" i="4" s="1"/>
  <c r="U49" i="4" s="1"/>
  <c r="AM10" i="6"/>
  <c r="AM6" i="6"/>
  <c r="R44" i="4" s="1"/>
  <c r="AM12" i="6"/>
  <c r="R50" i="4" s="1"/>
  <c r="U50" i="4" s="1"/>
  <c r="AM8" i="6"/>
  <c r="R46" i="4" s="1"/>
  <c r="Y3" i="9"/>
  <c r="AM4" i="6"/>
  <c r="R42" i="4" s="1"/>
  <c r="S47" i="4" l="1"/>
  <c r="T47" i="4"/>
  <c r="S49" i="4"/>
  <c r="T49" i="4"/>
  <c r="T50" i="4"/>
  <c r="S50" i="4"/>
  <c r="AM3" i="6"/>
  <c r="B6" i="10"/>
  <c r="U45" i="4"/>
  <c r="U43" i="4"/>
  <c r="U42" i="4"/>
  <c r="U46" i="4"/>
  <c r="U44" i="4"/>
  <c r="S44" i="4" s="1"/>
  <c r="AK3" i="6"/>
  <c r="R48" i="4" l="1"/>
  <c r="U48" i="4" s="1"/>
  <c r="T48" i="4" s="1"/>
  <c r="C10" i="10"/>
  <c r="D10" i="10" s="1"/>
  <c r="L10" i="10" s="1"/>
  <c r="S45" i="4"/>
  <c r="C14" i="10"/>
  <c r="D14" i="10" s="1"/>
  <c r="L14" i="10" s="1"/>
  <c r="C11" i="10"/>
  <c r="D11" i="10" s="1"/>
  <c r="L11" i="10" s="1"/>
  <c r="S46" i="4"/>
  <c r="C7" i="10"/>
  <c r="D7" i="10" s="1"/>
  <c r="L7" i="10" s="1"/>
  <c r="S42" i="4"/>
  <c r="C8" i="10"/>
  <c r="D8" i="10" s="1"/>
  <c r="L8" i="10" s="1"/>
  <c r="S43" i="4"/>
  <c r="C12" i="10"/>
  <c r="D12" i="10" s="1"/>
  <c r="L12" i="10" s="1"/>
  <c r="C15" i="10"/>
  <c r="D15" i="10" s="1"/>
  <c r="L15" i="10" s="1"/>
  <c r="C9" i="10"/>
  <c r="D9" i="10" s="1"/>
  <c r="L9" i="10" s="1"/>
  <c r="T45" i="4"/>
  <c r="T46" i="4"/>
  <c r="T42" i="4"/>
  <c r="T43" i="4"/>
  <c r="T44" i="4"/>
  <c r="S48" i="4" l="1"/>
  <c r="C13" i="10"/>
  <c r="D13" i="10" s="1"/>
  <c r="L13" i="10" s="1"/>
  <c r="H41" i="4"/>
  <c r="Q41" i="4" s="1"/>
  <c r="R41" i="4" s="1"/>
  <c r="I15" i="4"/>
  <c r="Q15" i="4" s="1"/>
  <c r="R15" i="4" l="1"/>
  <c r="U15" i="4" s="1"/>
  <c r="S15" i="4" s="1"/>
  <c r="T15" i="4" l="1"/>
  <c r="T35" i="4" s="1"/>
  <c r="S35" i="4" l="1"/>
  <c r="U35" i="4"/>
  <c r="U41" i="4" l="1"/>
  <c r="C6" i="10" l="1"/>
  <c r="D6" i="10" s="1"/>
  <c r="S41" i="4"/>
  <c r="T41" i="4"/>
  <c r="AL28" i="6"/>
  <c r="L6" i="10" l="1"/>
  <c r="L3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Sorrell, John</author>
  </authors>
  <commentList>
    <comment ref="A14" authorId="0" shapeId="0" xr:uid="{00000000-0006-0000-0000-000001000000}">
      <text>
        <r>
          <rPr>
            <b/>
            <sz val="9"/>
            <color indexed="81"/>
            <rFont val="Tahoma"/>
            <family val="2"/>
          </rPr>
          <t>Sorrell, John:</t>
        </r>
        <r>
          <rPr>
            <sz val="9"/>
            <color indexed="81"/>
            <rFont val="Tahoma"/>
            <family val="2"/>
          </rPr>
          <t xml:space="preserve">
This cell is used to connect the reimbursement percentage calculation to the Water Project Data Tab.</t>
        </r>
      </text>
    </comment>
    <comment ref="B14" authorId="0" shapeId="0" xr:uid="{00000000-0006-0000-0000-000002000000}">
      <text>
        <r>
          <rPr>
            <b/>
            <sz val="9"/>
            <color indexed="81"/>
            <rFont val="Tahoma"/>
            <family val="2"/>
          </rPr>
          <t>Sorrell, John:
This Cell is the length of the pipe being replaced in feet.</t>
        </r>
      </text>
    </comment>
    <comment ref="D14" authorId="0" shapeId="0" xr:uid="{00000000-0006-0000-0000-000003000000}">
      <text>
        <r>
          <rPr>
            <b/>
            <sz val="9"/>
            <color indexed="81"/>
            <rFont val="Tahoma"/>
            <family val="2"/>
          </rPr>
          <t>Sorrell, John:</t>
        </r>
        <r>
          <rPr>
            <sz val="9"/>
            <color indexed="81"/>
            <rFont val="Tahoma"/>
            <family val="2"/>
          </rPr>
          <t xml:space="preserve">
This cell is the material of the existing Pipe 
AC = Asbestos Cement
CI = Cast Iron
CO = Copper
DI = Ductile Iron
GALV = Galvanized 
PCCP = Prestressed Concrete Cylinder Pipe
PVC = Polyvinyl Chloride
</t>
        </r>
      </text>
    </comment>
    <comment ref="G14" authorId="0" shapeId="0" xr:uid="{00000000-0006-0000-0000-000004000000}">
      <text>
        <r>
          <rPr>
            <b/>
            <sz val="9"/>
            <color indexed="81"/>
            <rFont val="Tahoma"/>
            <family val="2"/>
          </rPr>
          <t>Sorrell, John:</t>
        </r>
        <r>
          <rPr>
            <sz val="9"/>
            <color indexed="81"/>
            <rFont val="Tahoma"/>
            <family val="2"/>
          </rPr>
          <t xml:space="preserve">
This information will be supplied by the City of Raleigh for the existing pipe.</t>
        </r>
      </text>
    </comment>
    <comment ref="H14" authorId="0" shapeId="0" xr:uid="{00000000-0006-0000-0000-000005000000}">
      <text>
        <r>
          <rPr>
            <b/>
            <sz val="9"/>
            <color indexed="81"/>
            <rFont val="Tahoma"/>
            <family val="2"/>
          </rPr>
          <t>Sorrell, John:</t>
        </r>
        <r>
          <rPr>
            <sz val="9"/>
            <color indexed="81"/>
            <rFont val="Tahoma"/>
            <family val="2"/>
          </rPr>
          <t xml:space="preserve">
This Cell represents the percentage of the service life that is remaining based on the material and install year.</t>
        </r>
      </text>
    </comment>
    <comment ref="I14" authorId="0" shapeId="0" xr:uid="{00000000-0006-0000-0000-000006000000}">
      <text>
        <r>
          <rPr>
            <b/>
            <sz val="9"/>
            <color indexed="81"/>
            <rFont val="Tahoma"/>
            <family val="2"/>
          </rPr>
          <t>Sorrell, John:</t>
        </r>
        <r>
          <rPr>
            <sz val="9"/>
            <color indexed="81"/>
            <rFont val="Tahoma"/>
            <family val="2"/>
          </rPr>
          <t xml:space="preserve">
This cell is the inverse of the condition score.</t>
        </r>
      </text>
    </comment>
    <comment ref="J14" authorId="0" shapeId="0" xr:uid="{00000000-0006-0000-0000-000007000000}">
      <text>
        <r>
          <rPr>
            <b/>
            <sz val="9"/>
            <color indexed="81"/>
            <rFont val="Tahoma"/>
            <family val="2"/>
          </rPr>
          <t>Sorrell, John:</t>
        </r>
        <r>
          <rPr>
            <sz val="9"/>
            <color indexed="81"/>
            <rFont val="Tahoma"/>
            <family val="2"/>
          </rPr>
          <t xml:space="preserve">
This cell represents the flow rate in the existing pipe at a hypothetical 5 feet per second.</t>
        </r>
      </text>
    </comment>
    <comment ref="K14" authorId="0" shapeId="0" xr:uid="{00000000-0006-0000-0000-000008000000}">
      <text>
        <r>
          <rPr>
            <b/>
            <sz val="9"/>
            <color indexed="81"/>
            <rFont val="Tahoma"/>
            <family val="2"/>
          </rPr>
          <t>Sorrell, John:</t>
        </r>
        <r>
          <rPr>
            <sz val="9"/>
            <color indexed="81"/>
            <rFont val="Tahoma"/>
            <family val="2"/>
          </rPr>
          <t xml:space="preserve">
This cell represents the flow rate in the proposed pipe at a hypothetical 5 feet per second.</t>
        </r>
      </text>
    </comment>
    <comment ref="L14" authorId="0" shapeId="0" xr:uid="{00000000-0006-0000-0000-000009000000}">
      <text>
        <r>
          <rPr>
            <b/>
            <sz val="9"/>
            <color indexed="81"/>
            <rFont val="Tahoma"/>
            <family val="2"/>
          </rPr>
          <t>Sorrell, John:</t>
        </r>
        <r>
          <rPr>
            <sz val="9"/>
            <color indexed="81"/>
            <rFont val="Tahoma"/>
            <family val="2"/>
          </rPr>
          <t xml:space="preserve">
This cell is used determine whether CORPUD is requiring the upgrade to serve future customers or whether the upgrade only serves the proposed development</t>
        </r>
      </text>
    </comment>
    <comment ref="O14" authorId="0" shapeId="0" xr:uid="{00000000-0006-0000-0000-00000A000000}">
      <text>
        <r>
          <rPr>
            <b/>
            <sz val="9"/>
            <color indexed="81"/>
            <rFont val="Tahoma"/>
            <family val="2"/>
          </rPr>
          <t>Sorrell, John:</t>
        </r>
        <r>
          <rPr>
            <sz val="9"/>
            <color indexed="81"/>
            <rFont val="Tahoma"/>
            <family val="2"/>
          </rPr>
          <t xml:space="preserve">
This cell represents the percentage increase in available flow from the existing pipe to the proposed pipe under a hypothetical 5 feet per second scenario.</t>
        </r>
      </text>
    </comment>
    <comment ref="Q14" authorId="0" shapeId="0" xr:uid="{00000000-0006-0000-0000-00000B000000}">
      <text>
        <r>
          <rPr>
            <b/>
            <sz val="9"/>
            <color indexed="81"/>
            <rFont val="Tahoma"/>
            <family val="2"/>
          </rPr>
          <t>Sorrell, John:</t>
        </r>
        <r>
          <rPr>
            <sz val="9"/>
            <color indexed="81"/>
            <rFont val="Tahoma"/>
            <family val="2"/>
          </rPr>
          <t xml:space="preserve">
This cell is the greater of the Condition Score or the Capacity Score.</t>
        </r>
      </text>
    </comment>
    <comment ref="R14" authorId="0" shapeId="0" xr:uid="{00000000-0006-0000-0000-00000C000000}">
      <text>
        <r>
          <rPr>
            <b/>
            <sz val="9"/>
            <color indexed="81"/>
            <rFont val="Tahoma"/>
            <family val="2"/>
          </rPr>
          <t>Sorrell, John:</t>
        </r>
        <r>
          <rPr>
            <sz val="9"/>
            <color indexed="81"/>
            <rFont val="Tahoma"/>
            <family val="2"/>
          </rPr>
          <t xml:space="preserve">
This cell is the amount of reimbursement available per linear foot of pipe being replaced.  It is based on the % contribution and the total cost from the Water Project Data Tab</t>
        </r>
      </text>
    </comment>
    <comment ref="S14" authorId="0" shapeId="0" xr:uid="{00000000-0006-0000-0000-00000D000000}">
      <text>
        <r>
          <rPr>
            <b/>
            <sz val="9"/>
            <color indexed="81"/>
            <rFont val="Tahoma"/>
            <family val="2"/>
          </rPr>
          <t>Sorrell, John:</t>
        </r>
        <r>
          <rPr>
            <sz val="9"/>
            <color indexed="81"/>
            <rFont val="Tahoma"/>
            <family val="2"/>
          </rPr>
          <t xml:space="preserve">
This cell represents the portion of the reimbursment that will be paid from Infrastructure Replacement Fee Revenue</t>
        </r>
      </text>
    </comment>
    <comment ref="T14" authorId="0" shapeId="0" xr:uid="{00000000-0006-0000-0000-00000E000000}">
      <text>
        <r>
          <rPr>
            <b/>
            <sz val="9"/>
            <color indexed="81"/>
            <rFont val="Tahoma"/>
            <family val="2"/>
          </rPr>
          <t>Sorrell, John:</t>
        </r>
        <r>
          <rPr>
            <sz val="9"/>
            <color indexed="81"/>
            <rFont val="Tahoma"/>
            <family val="2"/>
          </rPr>
          <t xml:space="preserve">
This Cell Represents the portion of the reimbusement that will be paid from Capital Facility Fee Revenue.</t>
        </r>
      </text>
    </comment>
    <comment ref="U14" authorId="0" shapeId="0" xr:uid="{00000000-0006-0000-0000-00000F000000}">
      <text>
        <r>
          <rPr>
            <b/>
            <sz val="9"/>
            <color indexed="81"/>
            <rFont val="Tahoma"/>
            <family val="2"/>
          </rPr>
          <t>Sorrell, John:</t>
        </r>
        <r>
          <rPr>
            <sz val="9"/>
            <color indexed="81"/>
            <rFont val="Tahoma"/>
            <family val="2"/>
          </rPr>
          <t xml:space="preserve">
This is the total reimbursement available for this pipe segment.</t>
        </r>
      </text>
    </comment>
    <comment ref="W37" authorId="0" shapeId="0" xr:uid="{00000000-0006-0000-0000-000010000000}">
      <text>
        <r>
          <rPr>
            <b/>
            <sz val="9"/>
            <color indexed="81"/>
            <rFont val="Tahoma"/>
            <family val="2"/>
          </rPr>
          <t>Sorrell, John:</t>
        </r>
        <r>
          <rPr>
            <sz val="9"/>
            <color indexed="81"/>
            <rFont val="Tahoma"/>
            <family val="2"/>
          </rPr>
          <t xml:space="preserve">
These Cells are used to calculate what portion of the future pipe each of the stakeholders is responsible for from a flow rate standpoint.  The developer is always responsible for his flow.  The City is always responsible for future capacity via Capital Facility Fee Revenue.  Responsibility for existing flow varies depending on whether the existing pipe is over capacity or not.  When the existing pipe is less than 50% full, the developer will be responsible for existing flow.  When the existing pipe is more than 65% full the city will be responsible for existing flow.  Between these numbers scales porportionally.</t>
        </r>
      </text>
    </comment>
    <comment ref="A40" authorId="0" shapeId="0" xr:uid="{00000000-0006-0000-0000-000011000000}">
      <text>
        <r>
          <rPr>
            <b/>
            <sz val="9"/>
            <color indexed="81"/>
            <rFont val="Tahoma"/>
            <family val="2"/>
          </rPr>
          <t>Sorrell, John:</t>
        </r>
        <r>
          <rPr>
            <sz val="9"/>
            <color indexed="81"/>
            <rFont val="Tahoma"/>
            <family val="2"/>
          </rPr>
          <t xml:space="preserve">
This cell is used to connect the reimbursement percentage calculation to the Sewer Project Data Tab.</t>
        </r>
      </text>
    </comment>
    <comment ref="B40" authorId="0" shapeId="0" xr:uid="{00000000-0006-0000-0000-000012000000}">
      <text>
        <r>
          <rPr>
            <b/>
            <sz val="9"/>
            <color indexed="81"/>
            <rFont val="Tahoma"/>
            <family val="2"/>
          </rPr>
          <t>Sorrell, John:</t>
        </r>
        <r>
          <rPr>
            <sz val="9"/>
            <color indexed="81"/>
            <rFont val="Tahoma"/>
            <family val="2"/>
          </rPr>
          <t xml:space="preserve">
This is the length of the existing pipe being replaced in feet.</t>
        </r>
      </text>
    </comment>
    <comment ref="D40" authorId="0" shapeId="0" xr:uid="{00000000-0006-0000-0000-000013000000}">
      <text>
        <r>
          <rPr>
            <b/>
            <sz val="9"/>
            <color indexed="81"/>
            <rFont val="Tahoma"/>
            <family val="2"/>
          </rPr>
          <t>Sorrell, John:</t>
        </r>
        <r>
          <rPr>
            <sz val="9"/>
            <color indexed="81"/>
            <rFont val="Tahoma"/>
            <family val="2"/>
          </rPr>
          <t xml:space="preserve">
This is the material of the existing pipe.  It is not used in later calculations but is included for project Data.
CI = Cast Iron
CONC = Concrete
DIP = Ductile Iron
PVC = Polyvinyl Chloride
VCP = Vitrified Clay Pipe</t>
        </r>
      </text>
    </comment>
    <comment ref="E40" authorId="0" shapeId="0" xr:uid="{00000000-0006-0000-0000-000014000000}">
      <text>
        <r>
          <rPr>
            <b/>
            <sz val="9"/>
            <color indexed="81"/>
            <rFont val="Tahoma"/>
            <family val="2"/>
          </rPr>
          <t>Sorrell, John:</t>
        </r>
        <r>
          <rPr>
            <sz val="9"/>
            <color indexed="81"/>
            <rFont val="Tahoma"/>
            <family val="2"/>
          </rPr>
          <t xml:space="preserve">
This Cell is the existing diameter from the Project Data Tab</t>
        </r>
      </text>
    </comment>
    <comment ref="F40" authorId="0" shapeId="0" xr:uid="{00000000-0006-0000-0000-000015000000}">
      <text>
        <r>
          <rPr>
            <b/>
            <sz val="9"/>
            <color indexed="81"/>
            <rFont val="Tahoma"/>
            <family val="2"/>
          </rPr>
          <t>Sorrell, John:</t>
        </r>
        <r>
          <rPr>
            <sz val="9"/>
            <color indexed="81"/>
            <rFont val="Tahoma"/>
            <family val="2"/>
          </rPr>
          <t xml:space="preserve">
This Cell is the new diameter from the Sewer Project Data Tab</t>
        </r>
      </text>
    </comment>
    <comment ref="G40" authorId="0" shapeId="0" xr:uid="{00000000-0006-0000-0000-000016000000}">
      <text>
        <r>
          <rPr>
            <b/>
            <sz val="9"/>
            <color indexed="81"/>
            <rFont val="Tahoma"/>
            <family val="2"/>
          </rPr>
          <t>Sorrell, John:</t>
        </r>
        <r>
          <rPr>
            <sz val="9"/>
            <color indexed="81"/>
            <rFont val="Tahoma"/>
            <family val="2"/>
          </rPr>
          <t xml:space="preserve">
This Cell is the PACP Score which is a nationally recognized system for Ranking sewer pipe condition developed by NASSCO.  The City will provide this score upon request if crews are available. 
1 represents Very good pipe
5 represents pipe in need of replacement.</t>
        </r>
      </text>
    </comment>
    <comment ref="H40" authorId="0" shapeId="0" xr:uid="{00000000-0006-0000-0000-000017000000}">
      <text>
        <r>
          <rPr>
            <b/>
            <sz val="9"/>
            <color indexed="81"/>
            <rFont val="Tahoma"/>
            <family val="2"/>
          </rPr>
          <t>Sorrell, John:</t>
        </r>
        <r>
          <rPr>
            <sz val="9"/>
            <color indexed="81"/>
            <rFont val="Tahoma"/>
            <family val="2"/>
          </rPr>
          <t xml:space="preserve">
This cell is calculated based on the PACP score.
1 = 0%
2 = 25%
3 = 50%
4= 75%
5= 100%</t>
        </r>
      </text>
    </comment>
    <comment ref="I40" authorId="0" shapeId="0" xr:uid="{00000000-0006-0000-0000-000018000000}">
      <text>
        <r>
          <rPr>
            <b/>
            <sz val="9"/>
            <color indexed="81"/>
            <rFont val="Tahoma"/>
            <family val="2"/>
          </rPr>
          <t>Sorrell, John:</t>
        </r>
        <r>
          <rPr>
            <sz val="9"/>
            <color indexed="81"/>
            <rFont val="Tahoma"/>
            <family val="2"/>
          </rPr>
          <t xml:space="preserve">
This cell represents the current flow in each pipe segment in gpm.  The City can provide billing data to help calculate existing flow rates.</t>
        </r>
      </text>
    </comment>
    <comment ref="J40" authorId="0" shapeId="0" xr:uid="{00000000-0006-0000-0000-000019000000}">
      <text>
        <r>
          <rPr>
            <b/>
            <sz val="9"/>
            <color indexed="81"/>
            <rFont val="Tahoma"/>
            <family val="2"/>
          </rPr>
          <t>Sorrell, John:</t>
        </r>
        <r>
          <rPr>
            <sz val="9"/>
            <color indexed="81"/>
            <rFont val="Tahoma"/>
            <family val="2"/>
          </rPr>
          <t xml:space="preserve">
This cell is the capacity of the existing pipe in gallons per minute based on mannings equation, </t>
        </r>
        <r>
          <rPr>
            <b/>
            <sz val="9"/>
            <color indexed="81"/>
            <rFont val="Tahoma"/>
            <family val="2"/>
          </rPr>
          <t>full pipe</t>
        </r>
        <r>
          <rPr>
            <sz val="9"/>
            <color indexed="81"/>
            <rFont val="Tahoma"/>
            <family val="2"/>
          </rPr>
          <t xml:space="preserve"> and a mannings n value of .013</t>
        </r>
      </text>
    </comment>
    <comment ref="K40" authorId="0" shapeId="0" xr:uid="{00000000-0006-0000-0000-00001A000000}">
      <text>
        <r>
          <rPr>
            <b/>
            <sz val="9"/>
            <color indexed="81"/>
            <rFont val="Tahoma"/>
            <family val="2"/>
          </rPr>
          <t>Sorrell, John:</t>
        </r>
        <r>
          <rPr>
            <sz val="9"/>
            <color indexed="81"/>
            <rFont val="Tahoma"/>
            <family val="2"/>
          </rPr>
          <t xml:space="preserve">
This cell is calculated by adding the proposed peak flow from the development to the current peak flow.</t>
        </r>
      </text>
    </comment>
    <comment ref="L40" authorId="0" shapeId="0" xr:uid="{00000000-0006-0000-0000-00001B000000}">
      <text>
        <r>
          <rPr>
            <b/>
            <sz val="9"/>
            <color indexed="81"/>
            <rFont val="Tahoma"/>
            <family val="2"/>
          </rPr>
          <t>Sorrell, John:</t>
        </r>
        <r>
          <rPr>
            <sz val="9"/>
            <color indexed="81"/>
            <rFont val="Tahoma"/>
            <family val="2"/>
          </rPr>
          <t xml:space="preserve">
This cell is the capacity of the proposed pipe </t>
        </r>
        <r>
          <rPr>
            <b/>
            <sz val="9"/>
            <color indexed="81"/>
            <rFont val="Tahoma"/>
            <family val="2"/>
          </rPr>
          <t>flowing full</t>
        </r>
        <r>
          <rPr>
            <sz val="9"/>
            <color indexed="81"/>
            <rFont val="Tahoma"/>
            <family val="2"/>
          </rPr>
          <t xml:space="preserve"> based on mannings equation and an n value of .013</t>
        </r>
      </text>
    </comment>
    <comment ref="M40" authorId="0" shapeId="0" xr:uid="{00000000-0006-0000-0000-00001C000000}">
      <text>
        <r>
          <rPr>
            <b/>
            <sz val="9"/>
            <color indexed="81"/>
            <rFont val="Tahoma"/>
            <family val="2"/>
          </rPr>
          <t>Sorrell, John:</t>
        </r>
        <r>
          <rPr>
            <sz val="9"/>
            <color indexed="81"/>
            <rFont val="Tahoma"/>
            <family val="2"/>
          </rPr>
          <t xml:space="preserve">
This cell represents what percentage of the lower half of the proposed pipe will be used to accommodate the proposed development.</t>
        </r>
      </text>
    </comment>
    <comment ref="N40" authorId="0" shapeId="0" xr:uid="{00000000-0006-0000-0000-00001D000000}">
      <text>
        <r>
          <rPr>
            <b/>
            <sz val="9"/>
            <color indexed="81"/>
            <rFont val="Tahoma"/>
            <family val="2"/>
          </rPr>
          <t>Sorrell, John:</t>
        </r>
        <r>
          <rPr>
            <sz val="9"/>
            <color indexed="81"/>
            <rFont val="Tahoma"/>
            <family val="2"/>
          </rPr>
          <t xml:space="preserve">
This cell is calculated based on columns W to AF to the right.  See comment on these columns for more information.</t>
        </r>
      </text>
    </comment>
    <comment ref="O40" authorId="0" shapeId="0" xr:uid="{00000000-0006-0000-0000-00001E000000}">
      <text>
        <r>
          <rPr>
            <b/>
            <sz val="9"/>
            <color indexed="81"/>
            <rFont val="Tahoma"/>
            <family val="2"/>
          </rPr>
          <t>Sorrell, John:</t>
        </r>
        <r>
          <rPr>
            <sz val="9"/>
            <color indexed="81"/>
            <rFont val="Tahoma"/>
            <family val="2"/>
          </rPr>
          <t xml:space="preserve">
This cell represents what portion of the Capacity Score is due to existing capacity issues.</t>
        </r>
      </text>
    </comment>
    <comment ref="P40" authorId="0" shapeId="0" xr:uid="{00000000-0006-0000-0000-00001F000000}">
      <text>
        <r>
          <rPr>
            <b/>
            <sz val="9"/>
            <color indexed="81"/>
            <rFont val="Tahoma"/>
            <family val="2"/>
          </rPr>
          <t>Sorrell, John:</t>
        </r>
        <r>
          <rPr>
            <sz val="9"/>
            <color indexed="81"/>
            <rFont val="Tahoma"/>
            <family val="2"/>
          </rPr>
          <t xml:space="preserve">
This cell represents what portion of the Total Capacity Score is related to future capacity being provided in the new pipe.</t>
        </r>
      </text>
    </comment>
    <comment ref="Q40" authorId="0" shapeId="0" xr:uid="{00000000-0006-0000-0000-000020000000}">
      <text>
        <r>
          <rPr>
            <b/>
            <sz val="9"/>
            <color indexed="81"/>
            <rFont val="Tahoma"/>
            <family val="2"/>
          </rPr>
          <t>Sorrell, John:</t>
        </r>
        <r>
          <rPr>
            <sz val="9"/>
            <color indexed="81"/>
            <rFont val="Tahoma"/>
            <family val="2"/>
          </rPr>
          <t xml:space="preserve">
This cell is the greater of the condition score or the Total Capacity Score.</t>
        </r>
      </text>
    </comment>
    <comment ref="R40" authorId="0" shapeId="0" xr:uid="{00000000-0006-0000-0000-000021000000}">
      <text>
        <r>
          <rPr>
            <b/>
            <sz val="9"/>
            <color indexed="81"/>
            <rFont val="Tahoma"/>
            <family val="2"/>
          </rPr>
          <t>Sorrell, John:</t>
        </r>
        <r>
          <rPr>
            <sz val="9"/>
            <color indexed="81"/>
            <rFont val="Tahoma"/>
            <family val="2"/>
          </rPr>
          <t xml:space="preserve">
This cell is the available reimbursement pre linear foot of pipe based on the % Contribution and the Sewer Project Data Tab</t>
        </r>
      </text>
    </comment>
    <comment ref="S40" authorId="0" shapeId="0" xr:uid="{00000000-0006-0000-0000-000022000000}">
      <text>
        <r>
          <rPr>
            <b/>
            <sz val="9"/>
            <color indexed="81"/>
            <rFont val="Tahoma"/>
            <family val="2"/>
          </rPr>
          <t>Sorrell, John:</t>
        </r>
        <r>
          <rPr>
            <sz val="9"/>
            <color indexed="81"/>
            <rFont val="Tahoma"/>
            <family val="2"/>
          </rPr>
          <t xml:space="preserve">
This represents the portion of the reimbursement that will be provided from Infrastructure replacement Fee Revenue (Existing capacity and condition issues)</t>
        </r>
      </text>
    </comment>
    <comment ref="T40" authorId="0" shapeId="0" xr:uid="{00000000-0006-0000-0000-000023000000}">
      <text>
        <r>
          <rPr>
            <b/>
            <sz val="9"/>
            <color indexed="81"/>
            <rFont val="Tahoma"/>
            <family val="2"/>
          </rPr>
          <t>Sorrell, John:</t>
        </r>
        <r>
          <rPr>
            <sz val="9"/>
            <color indexed="81"/>
            <rFont val="Tahoma"/>
            <family val="2"/>
          </rPr>
          <t xml:space="preserve">
This cell is the portion of the reimbusement that will be provided from Capital Facility Fee Revenue (Future Capacity Issues)</t>
        </r>
      </text>
    </comment>
    <comment ref="U40" authorId="0" shapeId="0" xr:uid="{00000000-0006-0000-0000-000024000000}">
      <text>
        <r>
          <rPr>
            <b/>
            <sz val="9"/>
            <color indexed="81"/>
            <rFont val="Tahoma"/>
            <family val="2"/>
          </rPr>
          <t>Sorrell, John:</t>
        </r>
        <r>
          <rPr>
            <sz val="9"/>
            <color indexed="81"/>
            <rFont val="Tahoma"/>
            <family val="2"/>
          </rPr>
          <t xml:space="preserve">
This is the total reimbursement that is available for each pipe segment.</t>
        </r>
      </text>
    </comment>
    <comment ref="W40" authorId="0" shapeId="0" xr:uid="{00000000-0006-0000-0000-000025000000}">
      <text>
        <r>
          <rPr>
            <b/>
            <sz val="9"/>
            <color indexed="81"/>
            <rFont val="Tahoma"/>
            <family val="2"/>
          </rPr>
          <t>Sorrell, John:</t>
        </r>
        <r>
          <rPr>
            <sz val="9"/>
            <color indexed="81"/>
            <rFont val="Tahoma"/>
            <family val="2"/>
          </rPr>
          <t xml:space="preserve">
This Cell represents the capacity of the existing pipe when flowing 50% full.</t>
        </r>
      </text>
    </comment>
    <comment ref="X40" authorId="0" shapeId="0" xr:uid="{00000000-0006-0000-0000-000026000000}">
      <text>
        <r>
          <rPr>
            <b/>
            <sz val="9"/>
            <color indexed="81"/>
            <rFont val="Tahoma"/>
            <family val="2"/>
          </rPr>
          <t>Sorrell, John:</t>
        </r>
        <r>
          <rPr>
            <sz val="9"/>
            <color indexed="81"/>
            <rFont val="Tahoma"/>
            <family val="2"/>
          </rPr>
          <t xml:space="preserve">
This cell represents the portion of the existing flow in the bottom half of the pipe the city is responsible for building a new pipe to convey based on existing capacity issues.</t>
        </r>
      </text>
    </comment>
    <comment ref="Y40" authorId="0" shapeId="0" xr:uid="{00000000-0006-0000-0000-000027000000}">
      <text>
        <r>
          <rPr>
            <b/>
            <sz val="9"/>
            <color indexed="81"/>
            <rFont val="Tahoma"/>
            <family val="2"/>
          </rPr>
          <t>Sorrell, John:</t>
        </r>
        <r>
          <rPr>
            <sz val="9"/>
            <color indexed="81"/>
            <rFont val="Tahoma"/>
            <family val="2"/>
          </rPr>
          <t xml:space="preserve">
This cell represents the portion of the existing flow in the bottom half of the pipe the Developer is responsible for building a new pipe to convey based on existing capacity issues.</t>
        </r>
      </text>
    </comment>
    <comment ref="Z40" authorId="0" shapeId="0" xr:uid="{00000000-0006-0000-0000-000028000000}">
      <text>
        <r>
          <rPr>
            <b/>
            <sz val="9"/>
            <color indexed="81"/>
            <rFont val="Tahoma"/>
            <family val="2"/>
          </rPr>
          <t>Sorrell, John:</t>
        </r>
        <r>
          <rPr>
            <sz val="9"/>
            <color indexed="81"/>
            <rFont val="Tahoma"/>
            <family val="2"/>
          </rPr>
          <t xml:space="preserve">
The cell represents existing flow exceeding 50% full in the existing pipe.  This flow is always the Cities responsibility.</t>
        </r>
      </text>
    </comment>
    <comment ref="AB40" authorId="0" shapeId="0" xr:uid="{00000000-0006-0000-0000-000029000000}">
      <text>
        <r>
          <rPr>
            <b/>
            <sz val="9"/>
            <color indexed="81"/>
            <rFont val="Tahoma"/>
            <family val="2"/>
          </rPr>
          <t>Sorrell, John:</t>
        </r>
        <r>
          <rPr>
            <sz val="9"/>
            <color indexed="81"/>
            <rFont val="Tahoma"/>
            <family val="2"/>
          </rPr>
          <t xml:space="preserve">
This is the additional capacity provided by the new pipe above what is required to serve existing flows and the proposed development.</t>
        </r>
      </text>
    </comment>
    <comment ref="AC40" authorId="0" shapeId="0" xr:uid="{00000000-0006-0000-0000-00002A000000}">
      <text>
        <r>
          <rPr>
            <b/>
            <sz val="9"/>
            <color indexed="81"/>
            <rFont val="Tahoma"/>
            <family val="2"/>
          </rPr>
          <t>Sorrell, John:</t>
        </r>
        <r>
          <rPr>
            <sz val="9"/>
            <color indexed="81"/>
            <rFont val="Tahoma"/>
            <family val="2"/>
          </rPr>
          <t xml:space="preserve">
This cell represents pipe capacity of the proposed pipe flowing </t>
        </r>
        <r>
          <rPr>
            <b/>
            <sz val="9"/>
            <color indexed="81"/>
            <rFont val="Tahoma"/>
            <family val="2"/>
          </rPr>
          <t>half full.</t>
        </r>
      </text>
    </comment>
    <comment ref="AD40" authorId="0" shapeId="0" xr:uid="{00000000-0006-0000-0000-00002B000000}">
      <text>
        <r>
          <rPr>
            <b/>
            <sz val="9"/>
            <color indexed="81"/>
            <rFont val="Tahoma"/>
            <family val="2"/>
          </rPr>
          <t>Sorrell, John:</t>
        </r>
        <r>
          <rPr>
            <sz val="9"/>
            <color indexed="81"/>
            <rFont val="Tahoma"/>
            <family val="2"/>
          </rPr>
          <t xml:space="preserve">
This cell is the sum of the flows in column Y and column AA</t>
        </r>
      </text>
    </comment>
    <comment ref="AE40" authorId="0" shapeId="0" xr:uid="{00000000-0006-0000-0000-00002C000000}">
      <text>
        <r>
          <rPr>
            <b/>
            <sz val="9"/>
            <color indexed="81"/>
            <rFont val="Tahoma"/>
            <family val="2"/>
          </rPr>
          <t>Sorrell, John:</t>
        </r>
        <r>
          <rPr>
            <sz val="9"/>
            <color indexed="81"/>
            <rFont val="Tahoma"/>
            <family val="2"/>
          </rPr>
          <t xml:space="preserve">
This is the sum of the flows in Columns W,X,Z, and AB.</t>
        </r>
      </text>
    </comment>
    <comment ref="AF40" authorId="0" shapeId="0" xr:uid="{00000000-0006-0000-0000-00002D000000}">
      <text>
        <r>
          <rPr>
            <b/>
            <sz val="9"/>
            <color indexed="81"/>
            <rFont val="Tahoma"/>
            <family val="2"/>
          </rPr>
          <t>Sorrell, John:</t>
        </r>
        <r>
          <rPr>
            <sz val="9"/>
            <color indexed="81"/>
            <rFont val="Tahoma"/>
            <family val="2"/>
          </rPr>
          <t xml:space="preserve">
This Cell is the percentage of the bottom half of the pipe used by flows for which the developer is responsible.</t>
        </r>
      </text>
    </comment>
    <comment ref="AG40" authorId="0" shapeId="0" xr:uid="{00000000-0006-0000-0000-00002E000000}">
      <text>
        <r>
          <rPr>
            <b/>
            <sz val="9"/>
            <color indexed="81"/>
            <rFont val="Tahoma"/>
            <family val="2"/>
          </rPr>
          <t>Sorrell, John:</t>
        </r>
        <r>
          <rPr>
            <sz val="9"/>
            <color indexed="81"/>
            <rFont val="Tahoma"/>
            <family val="2"/>
          </rPr>
          <t xml:space="preserve">
This Cell is the percentage of the Capacity score attributed to the existing Rate Base.</t>
        </r>
      </text>
    </comment>
    <comment ref="AH40" authorId="0" shapeId="0" xr:uid="{00000000-0006-0000-0000-00002F000000}">
      <text>
        <r>
          <rPr>
            <b/>
            <sz val="9"/>
            <color indexed="81"/>
            <rFont val="Tahoma"/>
            <family val="2"/>
          </rPr>
          <t>Sorrell, John:</t>
        </r>
        <r>
          <rPr>
            <sz val="9"/>
            <color indexed="81"/>
            <rFont val="Tahoma"/>
            <family val="2"/>
          </rPr>
          <t xml:space="preserve">
This Cell is the percentage of the Capacity Score attributed to future capacity.</t>
        </r>
      </text>
    </comment>
  </commentList>
</comments>
</file>

<file path=xl/sharedStrings.xml><?xml version="1.0" encoding="utf-8"?>
<sst xmlns="http://schemas.openxmlformats.org/spreadsheetml/2006/main" count="800" uniqueCount="161">
  <si>
    <t>EX Pipe/LF</t>
  </si>
  <si>
    <t>Prop Pipe/LF</t>
  </si>
  <si>
    <t>4' Manhole</t>
  </si>
  <si>
    <t>5' Manhole</t>
  </si>
  <si>
    <t>6' Manhole</t>
  </si>
  <si>
    <t>Services</t>
  </si>
  <si>
    <t>Bypass Pumping</t>
  </si>
  <si>
    <t>Rock</t>
  </si>
  <si>
    <t>Asphalt</t>
  </si>
  <si>
    <t>Existing Pipe</t>
  </si>
  <si>
    <t>Proposed Pipe</t>
  </si>
  <si>
    <t>Segment</t>
  </si>
  <si>
    <t>Length</t>
  </si>
  <si>
    <t>EX Diameter</t>
  </si>
  <si>
    <t>depth</t>
  </si>
  <si>
    <t>Construction Method</t>
  </si>
  <si>
    <t>cost/LF</t>
  </si>
  <si>
    <t>Bursting Multiplier</t>
  </si>
  <si>
    <t>Extended Cost</t>
  </si>
  <si>
    <t>Prop Diameter</t>
  </si>
  <si>
    <t>quantity</t>
  </si>
  <si>
    <t>cost
(each)</t>
  </si>
  <si>
    <t>cost</t>
  </si>
  <si>
    <t>required?</t>
  </si>
  <si>
    <t>Cost</t>
  </si>
  <si>
    <t>Quantity</t>
  </si>
  <si>
    <t>Total</t>
  </si>
  <si>
    <t>Per LF</t>
  </si>
  <si>
    <t>8"</t>
  </si>
  <si>
    <t>0-16</t>
  </si>
  <si>
    <t>Open Cut</t>
  </si>
  <si>
    <t>12"</t>
  </si>
  <si>
    <t>Yes</t>
  </si>
  <si>
    <t>No</t>
  </si>
  <si>
    <t>16"</t>
  </si>
  <si>
    <t>Pipe (lf)</t>
  </si>
  <si>
    <t>Manholes (each)</t>
  </si>
  <si>
    <t>Diameter</t>
  </si>
  <si>
    <t>Depth (ft)</t>
  </si>
  <si>
    <t>Bore and Jack</t>
  </si>
  <si>
    <t>Per 150 lf</t>
  </si>
  <si>
    <t>&lt;10 CY (LS)</t>
  </si>
  <si>
    <t>Additional (CY)</t>
  </si>
  <si>
    <t>Per lf of sewer main</t>
  </si>
  <si>
    <t>adder</t>
  </si>
  <si>
    <t>16+</t>
  </si>
  <si>
    <t>(each)</t>
  </si>
  <si>
    <t>10"</t>
  </si>
  <si>
    <t>18"</t>
  </si>
  <si>
    <t>20"</t>
  </si>
  <si>
    <t>24"</t>
  </si>
  <si>
    <t>30"</t>
  </si>
  <si>
    <t>4'</t>
  </si>
  <si>
    <t>5'</t>
  </si>
  <si>
    <t>6'</t>
  </si>
  <si>
    <t>Pipe Bursting Multipliers</t>
  </si>
  <si>
    <t>Proposed
Pipe Size</t>
  </si>
  <si>
    <t>Bursting Class A</t>
  </si>
  <si>
    <t>Bursting Class B</t>
  </si>
  <si>
    <t>Bursting Class C</t>
  </si>
  <si>
    <t>Hydrants</t>
  </si>
  <si>
    <t>Insertion Valve</t>
  </si>
  <si>
    <t>Unit Cost</t>
  </si>
  <si>
    <t>2"</t>
  </si>
  <si>
    <t>3/4"</t>
  </si>
  <si>
    <t>Fire 
Hydrants</t>
  </si>
  <si>
    <t>general pipe adder</t>
  </si>
  <si>
    <t>pipe size specific adder</t>
  </si>
  <si>
    <t>Pavement Adder</t>
  </si>
  <si>
    <t>Each</t>
  </si>
  <si>
    <t>6"</t>
  </si>
  <si>
    <t>1"</t>
  </si>
  <si>
    <t>4"</t>
  </si>
  <si>
    <t>City of Raleigh</t>
  </si>
  <si>
    <t>Public Utilities Department</t>
  </si>
  <si>
    <t>Developer Installed Main Reimbursement Contribution Calculator</t>
  </si>
  <si>
    <t>Effective FY 2023-2024</t>
  </si>
  <si>
    <t>Project Name</t>
  </si>
  <si>
    <t xml:space="preserve">Instructions: </t>
  </si>
  <si>
    <t>Date:</t>
  </si>
  <si>
    <t>For an accurate estimate, please fill in all Yellow Cells</t>
  </si>
  <si>
    <t>Permit #</t>
  </si>
  <si>
    <t>Peak Sewer Flow Rate</t>
  </si>
  <si>
    <t>gpm</t>
  </si>
  <si>
    <t>Water mains</t>
  </si>
  <si>
    <t>Pipe Segment Information</t>
  </si>
  <si>
    <t>Age/Condition</t>
  </si>
  <si>
    <t>Capacity</t>
  </si>
  <si>
    <t>Available CORPUD Funding and Funding Source</t>
  </si>
  <si>
    <t>Segment #</t>
  </si>
  <si>
    <t>Existing Length
(Feet)</t>
  </si>
  <si>
    <t>Existing
Material</t>
  </si>
  <si>
    <t>Existing
Diameter</t>
  </si>
  <si>
    <t>New Diameter</t>
  </si>
  <si>
    <t>Install Year</t>
  </si>
  <si>
    <t>% Service life remaining</t>
  </si>
  <si>
    <t>Condition Score</t>
  </si>
  <si>
    <t>Current Flow Rate (gpm at 5 FPS)</t>
  </si>
  <si>
    <t>New Flow Rate (gpm at 5 FPS)</t>
  </si>
  <si>
    <t>Required by CORPUD or development</t>
  </si>
  <si>
    <t>Capacity Score</t>
  </si>
  <si>
    <t xml:space="preserve">%
Contribution </t>
  </si>
  <si>
    <t>Contribution Value/lf</t>
  </si>
  <si>
    <t>Condition contribution
(Infrastructure
Fee Revenue)</t>
  </si>
  <si>
    <t>Capacity contribution
(Capital Facility Fee Revenue)</t>
  </si>
  <si>
    <t>Total Contribution</t>
  </si>
  <si>
    <t>lf</t>
  </si>
  <si>
    <t>CI</t>
  </si>
  <si>
    <t>CORPUD</t>
  </si>
  <si>
    <t>Sub totals</t>
  </si>
  <si>
    <t>Sewer Mains</t>
  </si>
  <si>
    <t>These Cells are used to calculate the Total Capacity Score
 No input is required in these cells.</t>
  </si>
  <si>
    <t>Existing
Length
(feet)</t>
  </si>
  <si>
    <t>Existing
Diameter
(Inches)</t>
  </si>
  <si>
    <t>New Diameter
(Inches)</t>
  </si>
  <si>
    <t>PACP Score</t>
  </si>
  <si>
    <t>Current Peak Flow
(gpm)</t>
  </si>
  <si>
    <t>Current
 Pipe Capacity
(gpm)</t>
  </si>
  <si>
    <t>Peak Flow with  Development
(gpm)</t>
  </si>
  <si>
    <t>New Pipe Capacity
(gpm)</t>
  </si>
  <si>
    <t>This development % of available pipe capacity</t>
  </si>
  <si>
    <t>Total Capacity Score</t>
  </si>
  <si>
    <t>Existing Rate Base Capacity%</t>
  </si>
  <si>
    <t>Future Dev. Capacity %</t>
  </si>
  <si>
    <t>Contribution Value/LF</t>
  </si>
  <si>
    <t>Current pipe capacity (half full)
(gpm)</t>
  </si>
  <si>
    <t>City portion of existing flows less than 50% of pipe capacity
(gpm)</t>
  </si>
  <si>
    <t>Developer portion of existing flows less than 50% of pipe Capacity
(gpm)</t>
  </si>
  <si>
    <t>Existing Flows exceeding 50% of existing pipe capacity
(gpm)</t>
  </si>
  <si>
    <t>Peak Flow from Proposed Development
(gpm)</t>
  </si>
  <si>
    <t>New Future Capacity
(gpm)</t>
  </si>
  <si>
    <t>Peak flow of existing pipe flowing half full
(gpm)</t>
  </si>
  <si>
    <t>Developer portion
(gpm)</t>
  </si>
  <si>
    <t>City Portion
(gpm)</t>
  </si>
  <si>
    <t>% EX Rate base</t>
  </si>
  <si>
    <t>% Future Developers</t>
  </si>
  <si>
    <t>DIP</t>
  </si>
  <si>
    <t>Note: New Pipe capacities based on 15" and 21" pipes.  Only option in reimbursement spreadsheet was 16" and 24" pipes.</t>
  </si>
  <si>
    <t>Water pipe</t>
  </si>
  <si>
    <t>AC</t>
  </si>
  <si>
    <t>CO</t>
  </si>
  <si>
    <t>GALV</t>
  </si>
  <si>
    <t>PCCP</t>
  </si>
  <si>
    <t>PVC</t>
  </si>
  <si>
    <t>Sewer Pipe</t>
  </si>
  <si>
    <t>VCP</t>
  </si>
  <si>
    <t>CONC</t>
  </si>
  <si>
    <t>PACP Codes</t>
  </si>
  <si>
    <t>Development</t>
  </si>
  <si>
    <t>Boolean</t>
  </si>
  <si>
    <t>Total Construction Cost</t>
  </si>
  <si>
    <t>Total City Contribution</t>
  </si>
  <si>
    <t>Responsibilty of proposed development</t>
  </si>
  <si>
    <t>65% full pipe capacity</t>
  </si>
  <si>
    <t>Current % full</t>
  </si>
  <si>
    <t>Current Peak Flow</t>
  </si>
  <si>
    <t>Available Capacity</t>
  </si>
  <si>
    <t>GPM at 50% full capacity</t>
  </si>
  <si>
    <t>GPM above 50%</t>
  </si>
  <si>
    <t>This development % of available</t>
  </si>
  <si>
    <t>Responsibility of this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</si>
</sst>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00"/>
    <numFmt numFmtId="166" formatCode="&quot;$&quot;#,##0.00"/>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10"/>
      <name val="Arial"/>
      <family val="2"/>
    </font>
    <font>
      <sz val="10"/>
      <name val="Arial"/>
      <family val="2"/>
    </font>
    <font>
      <b/>
      <sz val="18"/>
      <name val="Arial"/>
      <family val="2"/>
    </font>
    <font>
      <sz val="18"/>
      <name val="Arial"/>
      <family val="2"/>
    </font>
    <font>
      <sz val="12"/>
      <color theme="1"/>
      <name val="Calibri"/>
      <family val="2"/>
      <scheme val="minor"/>
    </font>
    <font>
      <sz val="11"/>
      <color theme="1"/>
      <name val="Arial"/>
      <family val="2"/>
    </font>
    <font>
      <sz val="10"/>
      <name val="Times New Roman"/>
      <family val="1"/>
    </font>
    <font>
      <sz val="10"/>
      <name val="Helv"/>
    </font>
    <font>
      <u/>
      <sz val="11"/>
      <color theme="10"/>
      <name val="Calibri"/>
      <family val="2"/>
      <scheme val="minor"/>
    </font>
    <font>
      <sz val="9"/>
      <color indexed="81"/>
      <name val="Tahoma"/>
      <family val="2"/>
    </font>
    <font>
      <b/>
      <sz val="9"/>
      <color indexed="81"/>
      <name val="Tahoma"/>
      <family val="2"/>
    </font>
    <font>
      <sz val="10"/>
      <color rgb="FFFF0000"/>
      <name val="Arial"/>
      <family val="2"/>
    </font>
    <font>
      <b/>
      <sz val="9"/>
      <name val="Arial"/>
      <family val="2"/>
    </font>
    <font>
      <b/>
      <sz val="8"/>
      <name val="Arial"/>
      <family val="2"/>
    </font>
    <font>
      <sz val="11"/>
      <color indexed="8"/>
      <name val="Calibri"/>
      <family val="2"/>
    </font>
    <font>
      <b/>
      <sz val="14"/>
      <name val="Arial"/>
      <family val="2"/>
    </font>
    <font>
      <sz val="9"/>
      <name val="Arial"/>
      <family val="2"/>
    </font>
    <font>
      <b/>
      <sz val="11"/>
      <name val="Arial"/>
      <family val="2"/>
    </font>
    <font>
      <b/>
      <sz val="12"/>
      <name val="Arial"/>
      <family val="2"/>
    </font>
    <font>
      <sz val="12"/>
      <name val="Arial"/>
      <family val="2"/>
    </font>
  </fonts>
  <fills count="11">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
      <patternFill patternType="solid">
        <fgColor theme="4" tint="0.59999389629810485"/>
        <bgColor indexed="64"/>
      </patternFill>
    </fill>
    <fill>
      <patternFill patternType="solid">
        <fgColor rgb="FFFFFFCC"/>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indexed="31"/>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84">
    <xf numFmtId="0" fontId="0" fillId="0" borderId="0"/>
    <xf numFmtId="9" fontId="9" fillId="0" borderId="0" applyFont="0" applyFill="0" applyBorder="0" applyAlignment="0" applyProtection="0"/>
    <xf numFmtId="44" fontId="10" fillId="0" borderId="0" applyFont="0" applyFill="0" applyBorder="0" applyAlignment="0" applyProtection="0"/>
    <xf numFmtId="43" fontId="11" fillId="0" borderId="0" applyFont="0" applyFill="0" applyBorder="0" applyAlignment="0" applyProtection="0"/>
    <xf numFmtId="0" fontId="14" fillId="0" borderId="0"/>
    <xf numFmtId="44" fontId="14" fillId="0" borderId="0" applyFont="0" applyFill="0" applyBorder="0" applyAlignment="0" applyProtection="0"/>
    <xf numFmtId="43" fontId="8" fillId="0" borderId="0" applyFont="0" applyFill="0" applyBorder="0" applyAlignment="0" applyProtection="0"/>
    <xf numFmtId="0" fontId="5" fillId="0" borderId="0"/>
    <xf numFmtId="44" fontId="5" fillId="0" borderId="0" applyFont="0" applyFill="0" applyBorder="0" applyAlignment="0" applyProtection="0"/>
    <xf numFmtId="42" fontId="5"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16" fillId="0" borderId="0"/>
    <xf numFmtId="44" fontId="16" fillId="0" borderId="0" applyFont="0" applyFill="0" applyBorder="0" applyAlignment="0" applyProtection="0"/>
    <xf numFmtId="0" fontId="17" fillId="0" borderId="30" applyNumberFormat="0" applyFill="0" applyProtection="0">
      <alignment horizontal="left" vertical="top" wrapText="1"/>
    </xf>
    <xf numFmtId="0" fontId="17" fillId="0" borderId="31" applyNumberFormat="0" applyFill="0" applyProtection="0">
      <alignment horizontal="center" vertical="top" wrapText="1"/>
    </xf>
    <xf numFmtId="0" fontId="8" fillId="0" borderId="0"/>
    <xf numFmtId="43" fontId="8" fillId="0" borderId="0" applyFont="0" applyFill="0" applyBorder="0" applyAlignment="0" applyProtection="0"/>
    <xf numFmtId="44" fontId="8" fillId="0" borderId="0" applyFont="0" applyFill="0" applyBorder="0" applyAlignment="0" applyProtection="0"/>
    <xf numFmtId="0" fontId="5" fillId="10" borderId="0" applyNumberFormat="0" applyBorder="0" applyAlignment="0" applyProtection="0"/>
    <xf numFmtId="0" fontId="15" fillId="0" borderId="0"/>
    <xf numFmtId="0" fontId="8" fillId="0" borderId="0"/>
    <xf numFmtId="44" fontId="8" fillId="0" borderId="0" applyFont="0" applyFill="0" applyBorder="0" applyAlignment="0" applyProtection="0"/>
    <xf numFmtId="0" fontId="4" fillId="0" borderId="0"/>
    <xf numFmtId="44" fontId="4" fillId="0" borderId="0" applyFont="0" applyFill="0" applyBorder="0" applyAlignment="0" applyProtection="0"/>
    <xf numFmtId="44" fontId="8" fillId="0" borderId="0" applyFon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9" fontId="8" fillId="0" borderId="0" applyFont="0" applyFill="0" applyBorder="0" applyAlignment="0" applyProtection="0"/>
    <xf numFmtId="44" fontId="8" fillId="0" borderId="0" applyFont="0" applyFill="0" applyBorder="0" applyAlignment="0" applyProtection="0"/>
    <xf numFmtId="43" fontId="11" fillId="0" borderId="0" applyFont="0" applyFill="0" applyBorder="0" applyAlignment="0" applyProtection="0"/>
    <xf numFmtId="0" fontId="2" fillId="0" borderId="0"/>
    <xf numFmtId="44" fontId="2" fillId="0" borderId="0" applyFont="0" applyFill="0" applyBorder="0" applyAlignment="0" applyProtection="0"/>
    <xf numFmtId="42" fontId="2" fillId="0" borderId="0" applyFont="0" applyFill="0" applyBorder="0" applyAlignment="0" applyProtection="0"/>
    <xf numFmtId="0" fontId="2" fillId="10" borderId="0" applyNumberFormat="0" applyBorder="0" applyAlignment="0" applyProtection="0"/>
    <xf numFmtId="0" fontId="2" fillId="0" borderId="0"/>
    <xf numFmtId="44" fontId="2" fillId="0" borderId="0" applyFont="0" applyFill="0" applyBorder="0" applyAlignment="0" applyProtection="0"/>
    <xf numFmtId="0" fontId="2"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0" fontId="1" fillId="10" borderId="0" applyNumberFormat="0" applyBorder="0" applyAlignment="0" applyProtection="0"/>
    <xf numFmtId="44" fontId="8"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8" fillId="0" borderId="0"/>
    <xf numFmtId="43" fontId="8"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0" fontId="1" fillId="10" borderId="0" applyNumberFormat="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cellStyleXfs>
  <cellXfs count="315">
    <xf numFmtId="0" fontId="0" fillId="0" borderId="0" xfId="0"/>
    <xf numFmtId="0" fontId="8" fillId="0" borderId="0" xfId="0" applyFont="1"/>
    <xf numFmtId="44" fontId="0" fillId="0" borderId="0" xfId="0" applyNumberFormat="1"/>
    <xf numFmtId="0" fontId="0" fillId="0" borderId="0" xfId="0" applyBorder="1" applyAlignment="1"/>
    <xf numFmtId="0" fontId="7" fillId="0" borderId="0" xfId="0" applyFont="1"/>
    <xf numFmtId="0" fontId="8" fillId="0" borderId="0" xfId="0" applyFont="1" applyBorder="1" applyAlignment="1"/>
    <xf numFmtId="0" fontId="7" fillId="0" borderId="0" xfId="0" applyFont="1" applyAlignment="1">
      <alignment horizontal="right"/>
    </xf>
    <xf numFmtId="0" fontId="7" fillId="0" borderId="0" xfId="0" applyFont="1" applyBorder="1" applyAlignment="1">
      <alignment horizontal="center"/>
    </xf>
    <xf numFmtId="0" fontId="0" fillId="0" borderId="0" xfId="0" applyAlignment="1">
      <alignment wrapText="1"/>
    </xf>
    <xf numFmtId="0" fontId="8" fillId="0" borderId="0" xfId="0" applyFont="1" applyAlignment="1">
      <alignment horizontal="center" vertical="center"/>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horizontal="center" vertical="center" wrapText="1"/>
    </xf>
    <xf numFmtId="44" fontId="0" fillId="0" borderId="1" xfId="2" applyFont="1" applyBorder="1" applyAlignment="1">
      <alignment horizontal="center" vertical="center"/>
    </xf>
    <xf numFmtId="44" fontId="0" fillId="0" borderId="12" xfId="2" applyFont="1" applyBorder="1" applyAlignment="1">
      <alignment horizontal="center" vertical="center"/>
    </xf>
    <xf numFmtId="44" fontId="8" fillId="0" borderId="1" xfId="2" applyFont="1" applyBorder="1" applyAlignment="1">
      <alignment horizontal="center" vertical="center"/>
    </xf>
    <xf numFmtId="44" fontId="8" fillId="0" borderId="12" xfId="2" applyFont="1" applyBorder="1" applyAlignment="1">
      <alignment horizontal="center" vertical="center"/>
    </xf>
    <xf numFmtId="44" fontId="7" fillId="0" borderId="11" xfId="2" applyFont="1" applyBorder="1" applyAlignment="1">
      <alignment horizontal="center" vertical="center"/>
    </xf>
    <xf numFmtId="44" fontId="7" fillId="0" borderId="12" xfId="2"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6" borderId="11"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8" fillId="6" borderId="5" xfId="0" applyFont="1"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2" fontId="0" fillId="0" borderId="0" xfId="0" applyNumberFormat="1"/>
    <xf numFmtId="2" fontId="0" fillId="0" borderId="19" xfId="2" applyNumberFormat="1" applyFont="1" applyBorder="1" applyAlignment="1">
      <alignment horizontal="center" vertical="center"/>
    </xf>
    <xf numFmtId="165" fontId="0" fillId="0" borderId="0" xfId="0" applyNumberFormat="1"/>
    <xf numFmtId="0" fontId="0" fillId="0" borderId="1" xfId="0" applyBorder="1"/>
    <xf numFmtId="9" fontId="0" fillId="0" borderId="1" xfId="1" applyFont="1" applyBorder="1"/>
    <xf numFmtId="9" fontId="13" fillId="0" borderId="1" xfId="1" applyFont="1" applyBorder="1" applyAlignment="1" applyProtection="1">
      <alignment horizontal="center" vertical="center"/>
    </xf>
    <xf numFmtId="0" fontId="0" fillId="0" borderId="0" xfId="0" applyProtection="1"/>
    <xf numFmtId="0" fontId="7" fillId="0" borderId="0" xfId="0" applyFont="1" applyProtection="1"/>
    <xf numFmtId="44" fontId="7" fillId="0" borderId="0" xfId="0" applyNumberFormat="1" applyFont="1" applyProtection="1"/>
    <xf numFmtId="0" fontId="0" fillId="6" borderId="5" xfId="0" applyFill="1" applyBorder="1" applyAlignment="1" applyProtection="1">
      <alignment horizontal="center" vertical="center"/>
      <protection locked="0"/>
    </xf>
    <xf numFmtId="0" fontId="0" fillId="0" borderId="3" xfId="0" applyBorder="1" applyProtection="1">
      <protection locked="0"/>
    </xf>
    <xf numFmtId="0" fontId="0" fillId="0" borderId="4" xfId="0" applyBorder="1" applyProtection="1">
      <protection locked="0"/>
    </xf>
    <xf numFmtId="0" fontId="0" fillId="0" borderId="2" xfId="0" applyBorder="1" applyProtection="1">
      <protection locked="0"/>
    </xf>
    <xf numFmtId="0" fontId="8" fillId="0" borderId="0" xfId="0" applyFont="1" applyProtection="1">
      <protection locked="0"/>
    </xf>
    <xf numFmtId="44" fontId="7" fillId="0" borderId="0" xfId="0" applyNumberFormat="1" applyFont="1"/>
    <xf numFmtId="0" fontId="8" fillId="0" borderId="0" xfId="0" applyFont="1" applyAlignment="1">
      <alignment horizontal="center" vertical="top" wrapText="1"/>
    </xf>
    <xf numFmtId="0" fontId="8" fillId="0" borderId="3" xfId="0" applyFont="1" applyBorder="1" applyProtection="1">
      <protection locked="0"/>
    </xf>
    <xf numFmtId="14" fontId="0" fillId="0" borderId="4" xfId="0" applyNumberFormat="1" applyBorder="1" applyProtection="1">
      <protection locked="0"/>
    </xf>
    <xf numFmtId="0" fontId="7" fillId="3" borderId="1" xfId="25" applyFont="1" applyFill="1" applyBorder="1"/>
    <xf numFmtId="44" fontId="8" fillId="3" borderId="0" xfId="17" applyFont="1" applyFill="1" applyBorder="1"/>
    <xf numFmtId="44" fontId="8" fillId="0" borderId="0" xfId="51" applyFont="1"/>
    <xf numFmtId="4" fontId="8" fillId="0" borderId="0" xfId="25" applyNumberFormat="1"/>
    <xf numFmtId="44" fontId="8" fillId="3" borderId="1" xfId="17" applyFont="1" applyFill="1" applyBorder="1"/>
    <xf numFmtId="0" fontId="8" fillId="0" borderId="1" xfId="25" applyBorder="1"/>
    <xf numFmtId="0" fontId="8" fillId="0" borderId="19" xfId="25" applyBorder="1"/>
    <xf numFmtId="9" fontId="8" fillId="3" borderId="1" xfId="14" applyFont="1" applyFill="1" applyBorder="1"/>
    <xf numFmtId="0" fontId="8" fillId="0" borderId="0" xfId="25"/>
    <xf numFmtId="0" fontId="7" fillId="8" borderId="1" xfId="25" applyFont="1" applyFill="1" applyBorder="1"/>
    <xf numFmtId="44" fontId="8" fillId="8" borderId="0" xfId="26" applyFont="1" applyFill="1"/>
    <xf numFmtId="44" fontId="8" fillId="5" borderId="1" xfId="26" applyFont="1" applyFill="1" applyBorder="1" applyAlignment="1"/>
    <xf numFmtId="0" fontId="7" fillId="8" borderId="1" xfId="25" applyFont="1" applyFill="1" applyBorder="1" applyAlignment="1"/>
    <xf numFmtId="44" fontId="8" fillId="8" borderId="1" xfId="26" applyFont="1" applyFill="1" applyBorder="1" applyAlignment="1"/>
    <xf numFmtId="0" fontId="0" fillId="0" borderId="21" xfId="0" applyBorder="1"/>
    <xf numFmtId="44" fontId="7" fillId="0" borderId="22" xfId="0" applyNumberFormat="1" applyFont="1" applyBorder="1"/>
    <xf numFmtId="0" fontId="7" fillId="3" borderId="1" xfId="25" applyFont="1" applyFill="1" applyBorder="1" applyAlignment="1">
      <alignment horizontal="center" vertical="center"/>
    </xf>
    <xf numFmtId="0" fontId="7" fillId="3" borderId="25" xfId="25" applyFont="1" applyFill="1" applyBorder="1" applyAlignment="1">
      <alignment horizontal="center" vertical="center"/>
    </xf>
    <xf numFmtId="44" fontId="8" fillId="0" borderId="0" xfId="25" applyNumberFormat="1"/>
    <xf numFmtId="44" fontId="21" fillId="0" borderId="0" xfId="25" applyNumberFormat="1" applyFont="1"/>
    <xf numFmtId="0" fontId="0" fillId="0" borderId="0" xfId="0" applyNumberFormat="1"/>
    <xf numFmtId="0" fontId="8" fillId="0" borderId="0" xfId="25" applyFill="1"/>
    <xf numFmtId="0" fontId="7" fillId="0" borderId="0" xfId="25" applyFont="1"/>
    <xf numFmtId="0" fontId="7" fillId="0" borderId="0" xfId="25" applyFont="1" applyFill="1"/>
    <xf numFmtId="44" fontId="7" fillId="0" borderId="0" xfId="25" applyNumberFormat="1" applyFont="1"/>
    <xf numFmtId="0" fontId="23" fillId="3" borderId="1" xfId="0" applyFont="1" applyFill="1" applyBorder="1"/>
    <xf numFmtId="0" fontId="23" fillId="2" borderId="1" xfId="0" applyFont="1" applyFill="1" applyBorder="1"/>
    <xf numFmtId="0" fontId="23" fillId="2" borderId="12" xfId="0" applyFont="1" applyFill="1" applyBorder="1"/>
    <xf numFmtId="0" fontId="23" fillId="2" borderId="11" xfId="0" applyFont="1" applyFill="1" applyBorder="1" applyAlignment="1">
      <alignment horizontal="center"/>
    </xf>
    <xf numFmtId="0" fontId="23" fillId="2" borderId="1" xfId="0" applyFont="1" applyFill="1" applyBorder="1" applyAlignment="1">
      <alignment horizontal="center"/>
    </xf>
    <xf numFmtId="0" fontId="23" fillId="2" borderId="12" xfId="0" applyFont="1" applyFill="1" applyBorder="1" applyAlignment="1">
      <alignment horizontal="center"/>
    </xf>
    <xf numFmtId="44" fontId="8" fillId="3" borderId="12" xfId="17" applyFont="1" applyFill="1" applyBorder="1"/>
    <xf numFmtId="0" fontId="7" fillId="2" borderId="5" xfId="0" applyFont="1" applyFill="1" applyBorder="1"/>
    <xf numFmtId="44" fontId="8" fillId="2" borderId="1" xfId="35" applyFont="1" applyFill="1" applyBorder="1"/>
    <xf numFmtId="44" fontId="8" fillId="2" borderId="12" xfId="35" applyFont="1" applyFill="1" applyBorder="1"/>
    <xf numFmtId="44" fontId="8" fillId="2" borderId="13" xfId="35" applyFont="1" applyFill="1" applyBorder="1" applyAlignment="1"/>
    <xf numFmtId="44" fontId="21" fillId="2" borderId="14" xfId="35" applyFont="1" applyFill="1" applyBorder="1" applyAlignment="1"/>
    <xf numFmtId="44" fontId="8" fillId="2" borderId="14" xfId="35" applyFont="1" applyFill="1" applyBorder="1" applyAlignment="1"/>
    <xf numFmtId="44" fontId="0" fillId="2" borderId="14" xfId="35" applyFont="1" applyFill="1" applyBorder="1" applyAlignment="1"/>
    <xf numFmtId="44" fontId="0" fillId="3" borderId="13" xfId="35" applyFont="1" applyFill="1" applyBorder="1"/>
    <xf numFmtId="44" fontId="0" fillId="3" borderId="15" xfId="35" applyFont="1" applyFill="1" applyBorder="1"/>
    <xf numFmtId="44" fontId="0" fillId="2" borderId="37" xfId="35" applyFont="1" applyFill="1" applyBorder="1"/>
    <xf numFmtId="0" fontId="0" fillId="0" borderId="0" xfId="0" applyBorder="1"/>
    <xf numFmtId="44" fontId="21" fillId="3" borderId="1" xfId="17" applyFont="1" applyFill="1" applyBorder="1"/>
    <xf numFmtId="0" fontId="7" fillId="2" borderId="20" xfId="0" applyFont="1" applyFill="1" applyBorder="1"/>
    <xf numFmtId="44" fontId="8" fillId="2" borderId="14" xfId="35" applyFont="1" applyFill="1" applyBorder="1"/>
    <xf numFmtId="44" fontId="8" fillId="2" borderId="15" xfId="35" applyFont="1" applyFill="1" applyBorder="1"/>
    <xf numFmtId="44" fontId="8" fillId="3" borderId="8" xfId="17" applyFont="1" applyFill="1" applyBorder="1"/>
    <xf numFmtId="9" fontId="8" fillId="3" borderId="12" xfId="14" applyFont="1" applyFill="1" applyBorder="1"/>
    <xf numFmtId="9" fontId="8" fillId="3" borderId="14" xfId="14" applyFont="1" applyFill="1" applyBorder="1"/>
    <xf numFmtId="9" fontId="8" fillId="3" borderId="15" xfId="14" applyFont="1" applyFill="1" applyBorder="1"/>
    <xf numFmtId="2" fontId="0" fillId="0" borderId="1" xfId="2" applyNumberFormat="1" applyFont="1" applyBorder="1" applyAlignment="1">
      <alignment horizontal="center" vertical="center"/>
    </xf>
    <xf numFmtId="0" fontId="7" fillId="3" borderId="11" xfId="25" applyFont="1" applyFill="1" applyBorder="1"/>
    <xf numFmtId="0" fontId="8" fillId="0" borderId="0" xfId="25" applyBorder="1"/>
    <xf numFmtId="0" fontId="7" fillId="3" borderId="13" xfId="25" applyFont="1" applyFill="1" applyBorder="1"/>
    <xf numFmtId="0" fontId="0" fillId="0" borderId="0" xfId="0" applyFill="1"/>
    <xf numFmtId="44" fontId="8" fillId="0" borderId="0" xfId="25" applyNumberFormat="1" applyFill="1"/>
    <xf numFmtId="44" fontId="0" fillId="3" borderId="37" xfId="35" applyFont="1" applyFill="1" applyBorder="1" applyAlignment="1"/>
    <xf numFmtId="4" fontId="8" fillId="0" borderId="0" xfId="25" applyNumberFormat="1" applyBorder="1"/>
    <xf numFmtId="0" fontId="8" fillId="0" borderId="8" xfId="25" applyBorder="1"/>
    <xf numFmtId="0" fontId="22" fillId="3" borderId="36" xfId="0" applyFont="1" applyFill="1" applyBorder="1" applyAlignment="1">
      <alignment horizontal="left" wrapText="1"/>
    </xf>
    <xf numFmtId="0" fontId="8" fillId="0" borderId="25" xfId="25" applyBorder="1"/>
    <xf numFmtId="0" fontId="23" fillId="3" borderId="25" xfId="0" applyFont="1" applyFill="1" applyBorder="1" applyAlignment="1">
      <alignment horizontal="center" wrapText="1"/>
    </xf>
    <xf numFmtId="0" fontId="23" fillId="3" borderId="11" xfId="0" applyFont="1" applyFill="1" applyBorder="1" applyAlignment="1">
      <alignment horizontal="center"/>
    </xf>
    <xf numFmtId="0" fontId="0" fillId="3" borderId="0" xfId="0" applyFill="1"/>
    <xf numFmtId="0" fontId="13" fillId="6" borderId="11" xfId="0" applyFont="1" applyFill="1" applyBorder="1" applyAlignment="1" applyProtection="1">
      <alignment horizontal="center" vertical="center"/>
      <protection locked="0"/>
    </xf>
    <xf numFmtId="0" fontId="7" fillId="0" borderId="0" xfId="25" applyFont="1" applyFill="1" applyBorder="1" applyAlignment="1"/>
    <xf numFmtId="44" fontId="8" fillId="0" borderId="0" xfId="26" applyFont="1" applyFill="1" applyBorder="1" applyAlignment="1"/>
    <xf numFmtId="0" fontId="7" fillId="5" borderId="5" xfId="25" applyFont="1" applyFill="1" applyBorder="1" applyAlignment="1"/>
    <xf numFmtId="44" fontId="8" fillId="8" borderId="1" xfId="26" applyFont="1" applyFill="1" applyBorder="1"/>
    <xf numFmtId="44" fontId="8" fillId="8" borderId="1" xfId="56" applyFont="1" applyFill="1" applyBorder="1"/>
    <xf numFmtId="0" fontId="0" fillId="0" borderId="0" xfId="0" applyFill="1" applyAlignment="1"/>
    <xf numFmtId="0" fontId="7" fillId="0" borderId="0" xfId="0" applyFont="1" applyFill="1" applyBorder="1" applyAlignment="1"/>
    <xf numFmtId="0" fontId="0" fillId="0" borderId="0" xfId="0" applyBorder="1" applyAlignment="1">
      <alignment wrapText="1"/>
    </xf>
    <xf numFmtId="0" fontId="7" fillId="0" borderId="34"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 xfId="0" applyFont="1" applyBorder="1" applyAlignment="1">
      <alignment horizontal="center" vertical="center" wrapText="1"/>
    </xf>
    <xf numFmtId="0" fontId="8" fillId="8" borderId="39" xfId="0" applyFont="1" applyFill="1" applyBorder="1" applyAlignment="1">
      <alignment horizontal="center"/>
    </xf>
    <xf numFmtId="44" fontId="7" fillId="0" borderId="19" xfId="2" applyFont="1" applyBorder="1" applyAlignment="1">
      <alignment horizontal="center" vertical="center"/>
    </xf>
    <xf numFmtId="44" fontId="0" fillId="0" borderId="5" xfId="2" applyFont="1" applyBorder="1" applyAlignment="1">
      <alignment horizontal="center" vertical="center"/>
    </xf>
    <xf numFmtId="0" fontId="0" fillId="6" borderId="12" xfId="0" applyFill="1" applyBorder="1" applyAlignment="1" applyProtection="1">
      <alignment horizontal="center" vertical="center"/>
      <protection locked="0"/>
    </xf>
    <xf numFmtId="0" fontId="8" fillId="8" borderId="41" xfId="0" applyFont="1" applyFill="1" applyBorder="1" applyAlignment="1">
      <alignment horizontal="center"/>
    </xf>
    <xf numFmtId="44" fontId="8" fillId="0" borderId="19" xfId="2" applyFont="1" applyBorder="1" applyAlignment="1">
      <alignment horizontal="center" vertical="center"/>
    </xf>
    <xf numFmtId="0" fontId="7" fillId="0" borderId="35" xfId="0" applyFont="1" applyBorder="1" applyAlignment="1">
      <alignment horizontal="center" vertical="center" wrapText="1"/>
    </xf>
    <xf numFmtId="44" fontId="8" fillId="0" borderId="38" xfId="2" applyFont="1" applyBorder="1" applyAlignment="1">
      <alignment horizontal="center" vertical="center"/>
    </xf>
    <xf numFmtId="44" fontId="0" fillId="0" borderId="19" xfId="2" applyFont="1" applyBorder="1" applyAlignment="1">
      <alignment horizontal="center" vertical="center"/>
    </xf>
    <xf numFmtId="164" fontId="13" fillId="7" borderId="1" xfId="3" applyNumberFormat="1" applyFont="1" applyFill="1" applyBorder="1" applyAlignment="1" applyProtection="1">
      <alignment horizontal="center" vertical="center"/>
    </xf>
    <xf numFmtId="0" fontId="8" fillId="6" borderId="11" xfId="0" applyFont="1" applyFill="1" applyBorder="1" applyAlignment="1" applyProtection="1">
      <alignment horizontal="center" vertical="center"/>
      <protection locked="0"/>
    </xf>
    <xf numFmtId="0" fontId="0" fillId="0" borderId="0" xfId="0" applyBorder="1" applyProtection="1">
      <protection locked="0"/>
    </xf>
    <xf numFmtId="0" fontId="7" fillId="0" borderId="0" xfId="0" applyFont="1" applyFill="1" applyBorder="1" applyAlignment="1" applyProtection="1">
      <protection locked="0"/>
    </xf>
    <xf numFmtId="0" fontId="25" fillId="0" borderId="0" xfId="0" applyFont="1" applyAlignment="1">
      <alignment horizontal="right"/>
    </xf>
    <xf numFmtId="164" fontId="13" fillId="0" borderId="1" xfId="3" applyNumberFormat="1"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1" xfId="0" applyFont="1" applyFill="1" applyBorder="1" applyAlignment="1" applyProtection="1">
      <alignment horizontal="center" vertical="center"/>
    </xf>
    <xf numFmtId="10" fontId="13" fillId="0" borderId="1" xfId="1" applyNumberFormat="1" applyFont="1" applyBorder="1" applyAlignment="1" applyProtection="1">
      <alignment horizontal="center" vertical="center"/>
    </xf>
    <xf numFmtId="9" fontId="12" fillId="0" borderId="1" xfId="0" applyNumberFormat="1" applyFont="1" applyBorder="1" applyAlignment="1" applyProtection="1">
      <alignment horizontal="center" vertical="center"/>
    </xf>
    <xf numFmtId="44" fontId="13" fillId="7" borderId="1" xfId="2" applyFont="1" applyFill="1" applyBorder="1" applyAlignment="1" applyProtection="1">
      <alignment horizontal="center" vertical="center"/>
    </xf>
    <xf numFmtId="44" fontId="13" fillId="0" borderId="1" xfId="0" applyNumberFormat="1" applyFont="1" applyFill="1" applyBorder="1" applyAlignment="1" applyProtection="1">
      <alignment horizontal="center" vertical="center"/>
    </xf>
    <xf numFmtId="0" fontId="12" fillId="6" borderId="11"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xf>
    <xf numFmtId="0" fontId="12" fillId="6" borderId="11" xfId="0" applyNumberFormat="1" applyFont="1" applyFill="1" applyBorder="1" applyAlignment="1" applyProtection="1">
      <alignment horizontal="center" vertical="center"/>
      <protection locked="0"/>
    </xf>
    <xf numFmtId="0" fontId="13" fillId="6" borderId="11" xfId="1" applyNumberFormat="1" applyFont="1" applyFill="1" applyBorder="1" applyAlignment="1" applyProtection="1">
      <alignment horizontal="center" vertical="center"/>
      <protection locked="0"/>
    </xf>
    <xf numFmtId="9" fontId="13" fillId="7" borderId="11" xfId="0" applyNumberFormat="1" applyFont="1" applyFill="1" applyBorder="1" applyAlignment="1" applyProtection="1">
      <alignment horizontal="center" vertical="center"/>
    </xf>
    <xf numFmtId="44" fontId="12" fillId="0" borderId="12" xfId="0" applyNumberFormat="1" applyFont="1" applyBorder="1" applyAlignment="1" applyProtection="1">
      <alignment horizontal="center" vertical="center"/>
    </xf>
    <xf numFmtId="164" fontId="13" fillId="0" borderId="1" xfId="3" applyNumberFormat="1" applyFont="1" applyBorder="1" applyAlignment="1" applyProtection="1">
      <alignment horizontal="center" vertical="center"/>
    </xf>
    <xf numFmtId="44" fontId="13" fillId="7" borderId="1" xfId="0" applyNumberFormat="1" applyFont="1" applyFill="1" applyBorder="1" applyAlignment="1" applyProtection="1">
      <alignment horizontal="center" vertical="center"/>
    </xf>
    <xf numFmtId="44" fontId="12" fillId="7" borderId="12" xfId="0" applyNumberFormat="1" applyFont="1" applyFill="1" applyBorder="1" applyAlignment="1" applyProtection="1">
      <alignment horizontal="center" vertical="center"/>
    </xf>
    <xf numFmtId="164" fontId="13" fillId="0" borderId="11" xfId="3" applyNumberFormat="1" applyFont="1" applyBorder="1" applyAlignment="1" applyProtection="1">
      <alignment horizontal="center" vertical="center"/>
    </xf>
    <xf numFmtId="164" fontId="13" fillId="7" borderId="12" xfId="3" applyNumberFormat="1" applyFont="1" applyFill="1" applyBorder="1" applyAlignment="1" applyProtection="1">
      <alignment horizontal="center" vertical="center"/>
    </xf>
    <xf numFmtId="0" fontId="8" fillId="6" borderId="1"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44" fontId="0" fillId="0" borderId="1" xfId="0" applyNumberFormat="1" applyBorder="1"/>
    <xf numFmtId="1" fontId="0" fillId="0" borderId="1" xfId="0" applyNumberFormat="1" applyBorder="1"/>
    <xf numFmtId="1" fontId="7" fillId="0" borderId="1" xfId="0" applyNumberFormat="1" applyFont="1" applyBorder="1"/>
    <xf numFmtId="0" fontId="25" fillId="0" borderId="23" xfId="0" applyFont="1" applyBorder="1" applyAlignment="1"/>
    <xf numFmtId="0" fontId="7" fillId="0" borderId="21" xfId="0" applyFont="1" applyBorder="1" applyAlignment="1">
      <alignment horizontal="center" vertical="center" wrapText="1"/>
    </xf>
    <xf numFmtId="0" fontId="25" fillId="0" borderId="22" xfId="0" applyFont="1" applyBorder="1" applyAlignment="1"/>
    <xf numFmtId="0" fontId="26" fillId="0" borderId="0" xfId="0" applyFont="1"/>
    <xf numFmtId="0" fontId="12" fillId="0" borderId="0" xfId="0" applyFont="1" applyAlignment="1">
      <alignment horizontal="right"/>
    </xf>
    <xf numFmtId="1" fontId="0" fillId="0" borderId="0" xfId="0" applyNumberFormat="1"/>
    <xf numFmtId="0" fontId="12" fillId="0" borderId="0" xfId="0" applyFont="1" applyProtection="1">
      <protection locked="0"/>
    </xf>
    <xf numFmtId="0" fontId="12" fillId="6" borderId="48" xfId="0" applyFont="1" applyFill="1" applyBorder="1" applyAlignment="1" applyProtection="1">
      <protection locked="0"/>
    </xf>
    <xf numFmtId="0" fontId="7" fillId="3" borderId="49" xfId="25" applyFont="1" applyFill="1" applyBorder="1"/>
    <xf numFmtId="166" fontId="8" fillId="0" borderId="0" xfId="25" applyNumberFormat="1"/>
    <xf numFmtId="0" fontId="23" fillId="2" borderId="0" xfId="0" applyFont="1" applyFill="1" applyBorder="1" applyAlignment="1">
      <alignment horizontal="center"/>
    </xf>
    <xf numFmtId="0" fontId="23" fillId="2" borderId="3" xfId="0" applyFont="1" applyFill="1" applyBorder="1" applyAlignment="1">
      <alignment horizontal="center"/>
    </xf>
    <xf numFmtId="44" fontId="0" fillId="2" borderId="20" xfId="35" applyFont="1" applyFill="1" applyBorder="1" applyAlignment="1"/>
    <xf numFmtId="0" fontId="23" fillId="2" borderId="50" xfId="0" applyFont="1" applyFill="1" applyBorder="1" applyAlignment="1">
      <alignment horizontal="center"/>
    </xf>
    <xf numFmtId="0" fontId="7" fillId="3" borderId="51" xfId="25" applyFont="1" applyFill="1" applyBorder="1"/>
    <xf numFmtId="44" fontId="8" fillId="3" borderId="52" xfId="17" applyFont="1" applyFill="1" applyBorder="1"/>
    <xf numFmtId="44" fontId="8" fillId="3" borderId="53" xfId="17" applyFont="1" applyFill="1" applyBorder="1"/>
    <xf numFmtId="44" fontId="21" fillId="3" borderId="24" xfId="17" applyFont="1" applyFill="1" applyBorder="1"/>
    <xf numFmtId="44" fontId="21" fillId="3" borderId="54" xfId="17" applyFont="1" applyFill="1" applyBorder="1"/>
    <xf numFmtId="9" fontId="21" fillId="3" borderId="1" xfId="14" applyFont="1" applyFill="1" applyBorder="1"/>
    <xf numFmtId="9" fontId="21" fillId="3" borderId="12" xfId="14" applyFont="1" applyFill="1" applyBorder="1"/>
    <xf numFmtId="9" fontId="21" fillId="3" borderId="24" xfId="1" applyFont="1" applyFill="1" applyBorder="1"/>
    <xf numFmtId="9" fontId="21" fillId="3" borderId="12" xfId="1" applyFont="1" applyFill="1" applyBorder="1"/>
    <xf numFmtId="9" fontId="12" fillId="0" borderId="1" xfId="1" applyFont="1" applyBorder="1" applyAlignment="1" applyProtection="1">
      <alignment horizontal="center" vertical="center"/>
    </xf>
    <xf numFmtId="9" fontId="12" fillId="0" borderId="12" xfId="1" applyFont="1" applyBorder="1" applyAlignment="1" applyProtection="1">
      <alignment horizontal="center" vertical="center"/>
    </xf>
    <xf numFmtId="0" fontId="13" fillId="6" borderId="1" xfId="0" applyFont="1" applyFill="1" applyBorder="1" applyAlignment="1" applyProtection="1">
      <alignment horizontal="center" vertical="center"/>
      <protection locked="0"/>
    </xf>
    <xf numFmtId="0" fontId="7" fillId="2" borderId="40" xfId="25" applyFont="1" applyFill="1" applyBorder="1" applyAlignment="1">
      <alignment horizontal="center"/>
    </xf>
    <xf numFmtId="0" fontId="7" fillId="2" borderId="8" xfId="25" applyFont="1" applyFill="1" applyBorder="1" applyAlignment="1">
      <alignment horizontal="center"/>
    </xf>
    <xf numFmtId="0" fontId="23" fillId="3" borderId="34" xfId="0" applyFont="1" applyFill="1" applyBorder="1" applyAlignment="1">
      <alignment horizontal="center" wrapText="1"/>
    </xf>
    <xf numFmtId="0" fontId="28" fillId="3" borderId="1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8" borderId="1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28" fillId="8" borderId="12"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8" xfId="0" applyFont="1" applyFill="1" applyBorder="1" applyAlignment="1">
      <alignment horizontal="center"/>
    </xf>
    <xf numFmtId="0" fontId="22" fillId="3" borderId="36" xfId="0" applyFont="1" applyFill="1" applyBorder="1" applyAlignment="1">
      <alignment horizontal="left"/>
    </xf>
    <xf numFmtId="0" fontId="22" fillId="3" borderId="11" xfId="0" applyFont="1" applyFill="1" applyBorder="1" applyAlignment="1">
      <alignment horizontal="left"/>
    </xf>
    <xf numFmtId="0" fontId="7" fillId="3" borderId="33" xfId="25" applyFont="1" applyFill="1" applyBorder="1" applyAlignment="1">
      <alignment horizontal="center"/>
    </xf>
    <xf numFmtId="0" fontId="7" fillId="3" borderId="35" xfId="25" applyFont="1" applyFill="1" applyBorder="1" applyAlignment="1">
      <alignment horizontal="center"/>
    </xf>
    <xf numFmtId="0" fontId="0" fillId="0" borderId="0" xfId="0" applyAlignment="1">
      <alignment horizontal="center"/>
    </xf>
    <xf numFmtId="0" fontId="7" fillId="2" borderId="32" xfId="25" applyFont="1" applyFill="1" applyBorder="1" applyAlignment="1">
      <alignment horizontal="center"/>
    </xf>
    <xf numFmtId="0" fontId="7" fillId="2" borderId="45" xfId="25" applyFont="1" applyFill="1" applyBorder="1" applyAlignment="1">
      <alignment horizontal="center"/>
    </xf>
    <xf numFmtId="0" fontId="23" fillId="2" borderId="33" xfId="0" applyFont="1" applyFill="1" applyBorder="1" applyAlignment="1">
      <alignment horizontal="center" wrapText="1"/>
    </xf>
    <xf numFmtId="0" fontId="23" fillId="2" borderId="35" xfId="0" applyFont="1" applyFill="1" applyBorder="1" applyAlignment="1">
      <alignment horizontal="center" wrapText="1"/>
    </xf>
    <xf numFmtId="0" fontId="7" fillId="3" borderId="28" xfId="25" applyFont="1" applyFill="1" applyBorder="1" applyAlignment="1">
      <alignment horizontal="center"/>
    </xf>
    <xf numFmtId="0" fontId="7" fillId="3" borderId="29" xfId="25" applyFont="1" applyFill="1" applyBorder="1" applyAlignment="1">
      <alignment horizontal="center"/>
    </xf>
    <xf numFmtId="0" fontId="7" fillId="2" borderId="39" xfId="25" applyFont="1" applyFill="1" applyBorder="1" applyAlignment="1">
      <alignment horizontal="center"/>
    </xf>
    <xf numFmtId="0" fontId="7" fillId="2" borderId="40" xfId="25" applyFont="1" applyFill="1" applyBorder="1" applyAlignment="1">
      <alignment horizontal="center"/>
    </xf>
    <xf numFmtId="0" fontId="7" fillId="2" borderId="41" xfId="25" applyFont="1" applyFill="1" applyBorder="1" applyAlignment="1">
      <alignment horizontal="center"/>
    </xf>
    <xf numFmtId="0" fontId="7" fillId="2" borderId="7" xfId="25" applyFont="1" applyFill="1" applyBorder="1" applyAlignment="1">
      <alignment horizontal="center"/>
    </xf>
    <xf numFmtId="0" fontId="7" fillId="2" borderId="8" xfId="25" applyFont="1" applyFill="1" applyBorder="1" applyAlignment="1">
      <alignment horizontal="center"/>
    </xf>
    <xf numFmtId="0" fontId="7" fillId="2" borderId="43" xfId="25" applyFont="1" applyFill="1" applyBorder="1" applyAlignment="1">
      <alignment horizontal="center"/>
    </xf>
    <xf numFmtId="0" fontId="23" fillId="2" borderId="36" xfId="0" applyFont="1" applyFill="1" applyBorder="1" applyAlignment="1">
      <alignment horizontal="center"/>
    </xf>
    <xf numFmtId="0" fontId="23" fillId="2" borderId="25" xfId="0" applyFont="1" applyFill="1" applyBorder="1" applyAlignment="1">
      <alignment horizontal="center"/>
    </xf>
    <xf numFmtId="0" fontId="23" fillId="2" borderId="34" xfId="0" applyFont="1" applyFill="1" applyBorder="1" applyAlignment="1">
      <alignment horizontal="center"/>
    </xf>
    <xf numFmtId="0" fontId="7" fillId="3" borderId="39" xfId="25" applyFont="1" applyFill="1" applyBorder="1" applyAlignment="1">
      <alignment horizontal="center"/>
    </xf>
    <xf numFmtId="0" fontId="7" fillId="3" borderId="41" xfId="25" applyFont="1" applyFill="1" applyBorder="1" applyAlignment="1">
      <alignment horizontal="center"/>
    </xf>
    <xf numFmtId="0" fontId="7" fillId="3" borderId="7" xfId="25" applyFont="1" applyFill="1" applyBorder="1" applyAlignment="1">
      <alignment horizontal="center"/>
    </xf>
    <xf numFmtId="0" fontId="7" fillId="3" borderId="43" xfId="25" applyFont="1" applyFill="1" applyBorder="1" applyAlignment="1">
      <alignment horizontal="center"/>
    </xf>
    <xf numFmtId="0" fontId="23" fillId="3" borderId="44" xfId="0" applyFont="1" applyFill="1" applyBorder="1" applyAlignment="1">
      <alignment horizontal="center" wrapText="1"/>
    </xf>
    <xf numFmtId="0" fontId="23" fillId="3" borderId="36" xfId="0" applyFont="1" applyFill="1" applyBorder="1" applyAlignment="1">
      <alignment horizontal="center" wrapText="1"/>
    </xf>
    <xf numFmtId="0" fontId="23" fillId="3" borderId="42" xfId="0" applyFont="1" applyFill="1" applyBorder="1" applyAlignment="1">
      <alignment horizontal="center" wrapText="1"/>
    </xf>
    <xf numFmtId="0" fontId="23" fillId="3" borderId="34" xfId="0" applyFont="1" applyFill="1" applyBorder="1" applyAlignment="1">
      <alignment horizontal="center" wrapText="1"/>
    </xf>
    <xf numFmtId="0" fontId="7" fillId="3" borderId="40" xfId="25" applyFont="1" applyFill="1" applyBorder="1" applyAlignment="1">
      <alignment horizontal="center"/>
    </xf>
    <xf numFmtId="0" fontId="7" fillId="3" borderId="8" xfId="25" applyFont="1" applyFill="1" applyBorder="1" applyAlignment="1">
      <alignment horizontal="center"/>
    </xf>
    <xf numFmtId="0" fontId="22" fillId="2" borderId="36" xfId="0" applyFont="1" applyFill="1" applyBorder="1" applyAlignment="1">
      <alignment horizontal="left"/>
    </xf>
    <xf numFmtId="0" fontId="22" fillId="2" borderId="11" xfId="0" applyFont="1" applyFill="1" applyBorder="1" applyAlignment="1">
      <alignment horizontal="left"/>
    </xf>
    <xf numFmtId="0" fontId="23" fillId="3" borderId="25" xfId="0" applyFont="1" applyFill="1" applyBorder="1" applyAlignment="1">
      <alignment horizontal="center"/>
    </xf>
    <xf numFmtId="0" fontId="7" fillId="3" borderId="21" xfId="25" applyFont="1" applyFill="1" applyBorder="1" applyAlignment="1">
      <alignment horizontal="center" vertical="center" wrapText="1"/>
    </xf>
    <xf numFmtId="0" fontId="7" fillId="3" borderId="23" xfId="25" applyFont="1" applyFill="1" applyBorder="1" applyAlignment="1">
      <alignment horizontal="center" vertical="center" wrapText="1"/>
    </xf>
    <xf numFmtId="0" fontId="7" fillId="3" borderId="22" xfId="25" applyFont="1" applyFill="1" applyBorder="1" applyAlignment="1">
      <alignment horizontal="center" vertical="center" wrapText="1"/>
    </xf>
    <xf numFmtId="0" fontId="7" fillId="8" borderId="16" xfId="0" applyFont="1" applyFill="1" applyBorder="1" applyAlignment="1">
      <alignment horizontal="center"/>
    </xf>
    <xf numFmtId="0" fontId="7" fillId="8" borderId="17" xfId="0" applyFont="1" applyFill="1" applyBorder="1" applyAlignment="1">
      <alignment horizontal="center"/>
    </xf>
    <xf numFmtId="0" fontId="7" fillId="8" borderId="18" xfId="0" applyFont="1" applyFill="1" applyBorder="1" applyAlignment="1">
      <alignment horizontal="center"/>
    </xf>
    <xf numFmtId="0" fontId="7" fillId="8" borderId="9" xfId="0" applyFont="1" applyFill="1" applyBorder="1" applyAlignment="1">
      <alignment horizontal="center"/>
    </xf>
    <xf numFmtId="0" fontId="7" fillId="8" borderId="10" xfId="0" applyFont="1" applyFill="1" applyBorder="1" applyAlignment="1">
      <alignment horizontal="center"/>
    </xf>
    <xf numFmtId="0" fontId="23" fillId="8" borderId="24" xfId="25" applyFont="1" applyFill="1" applyBorder="1" applyAlignment="1">
      <alignment horizontal="center" wrapText="1"/>
    </xf>
    <xf numFmtId="0" fontId="23" fillId="8" borderId="25" xfId="25" applyFont="1" applyFill="1" applyBorder="1" applyAlignment="1">
      <alignment horizontal="center" wrapText="1"/>
    </xf>
    <xf numFmtId="0" fontId="7" fillId="5" borderId="24" xfId="25" applyFont="1" applyFill="1" applyBorder="1" applyAlignment="1">
      <alignment horizontal="center" wrapText="1"/>
    </xf>
    <xf numFmtId="0" fontId="7" fillId="5" borderId="25" xfId="25" applyFont="1" applyFill="1" applyBorder="1" applyAlignment="1">
      <alignment horizontal="center" wrapText="1"/>
    </xf>
    <xf numFmtId="0" fontId="23" fillId="5" borderId="1" xfId="25" applyFont="1" applyFill="1" applyBorder="1" applyAlignment="1">
      <alignment horizontal="center"/>
    </xf>
    <xf numFmtId="0" fontId="23" fillId="5" borderId="24" xfId="25" applyFont="1" applyFill="1" applyBorder="1" applyAlignment="1">
      <alignment horizontal="center"/>
    </xf>
    <xf numFmtId="0" fontId="23" fillId="5" borderId="25" xfId="25" applyFont="1" applyFill="1" applyBorder="1" applyAlignment="1">
      <alignment horizontal="center"/>
    </xf>
    <xf numFmtId="0" fontId="7" fillId="8" borderId="26" xfId="25" applyFont="1" applyFill="1" applyBorder="1" applyAlignment="1">
      <alignment horizontal="center"/>
    </xf>
    <xf numFmtId="0" fontId="7" fillId="8" borderId="2" xfId="25" applyFont="1" applyFill="1" applyBorder="1" applyAlignment="1">
      <alignment horizontal="center"/>
    </xf>
    <xf numFmtId="0" fontId="7" fillId="8" borderId="27" xfId="25" applyFont="1" applyFill="1" applyBorder="1" applyAlignment="1">
      <alignment horizontal="center"/>
    </xf>
    <xf numFmtId="0" fontId="7" fillId="8" borderId="28" xfId="25" applyFont="1" applyFill="1" applyBorder="1" applyAlignment="1">
      <alignment horizontal="center"/>
    </xf>
    <xf numFmtId="0" fontId="7" fillId="8" borderId="3" xfId="25" applyFont="1" applyFill="1" applyBorder="1" applyAlignment="1">
      <alignment horizontal="center"/>
    </xf>
    <xf numFmtId="0" fontId="7" fillId="8" borderId="29" xfId="25" applyFont="1" applyFill="1" applyBorder="1" applyAlignment="1">
      <alignment horizontal="center"/>
    </xf>
    <xf numFmtId="0" fontId="22" fillId="8" borderId="36" xfId="0" applyFont="1" applyFill="1" applyBorder="1" applyAlignment="1">
      <alignment horizontal="left"/>
    </xf>
    <xf numFmtId="0" fontId="22" fillId="8" borderId="11" xfId="0" applyFont="1" applyFill="1" applyBorder="1" applyAlignment="1">
      <alignment horizontal="left"/>
    </xf>
    <xf numFmtId="0" fontId="23" fillId="8" borderId="24" xfId="25" applyFont="1" applyFill="1" applyBorder="1" applyAlignment="1">
      <alignment horizontal="center"/>
    </xf>
    <xf numFmtId="0" fontId="23" fillId="8" borderId="25" xfId="25" applyFont="1" applyFill="1" applyBorder="1" applyAlignment="1">
      <alignment horizontal="center"/>
    </xf>
    <xf numFmtId="0" fontId="7" fillId="5" borderId="26" xfId="25" applyFont="1" applyFill="1" applyBorder="1" applyAlignment="1">
      <alignment horizontal="center"/>
    </xf>
    <xf numFmtId="0" fontId="7" fillId="5" borderId="27" xfId="25" applyFont="1" applyFill="1" applyBorder="1" applyAlignment="1">
      <alignment horizontal="center"/>
    </xf>
    <xf numFmtId="0" fontId="7" fillId="5" borderId="28" xfId="25" applyFont="1" applyFill="1" applyBorder="1" applyAlignment="1">
      <alignment horizontal="center"/>
    </xf>
    <xf numFmtId="0" fontId="7" fillId="5" borderId="29" xfId="25" applyFont="1" applyFill="1" applyBorder="1" applyAlignment="1">
      <alignment horizontal="center"/>
    </xf>
    <xf numFmtId="0" fontId="22" fillId="5" borderId="24" xfId="25" applyFont="1" applyFill="1" applyBorder="1" applyAlignment="1">
      <alignment horizontal="left"/>
    </xf>
    <xf numFmtId="0" fontId="22" fillId="5" borderId="25" xfId="25" applyFont="1" applyFill="1" applyBorder="1" applyAlignment="1">
      <alignment horizontal="left"/>
    </xf>
    <xf numFmtId="0" fontId="22" fillId="8" borderId="24" xfId="25" applyFont="1" applyFill="1" applyBorder="1" applyAlignment="1">
      <alignment horizontal="center"/>
    </xf>
    <xf numFmtId="0" fontId="22" fillId="8" borderId="25" xfId="25" applyFont="1" applyFill="1" applyBorder="1" applyAlignment="1">
      <alignment horizontal="center"/>
    </xf>
    <xf numFmtId="0" fontId="13" fillId="6" borderId="1" xfId="0" applyFont="1" applyFill="1" applyBorder="1" applyAlignment="1" applyProtection="1">
      <alignment horizontal="center" vertical="center"/>
      <protection locked="0"/>
    </xf>
    <xf numFmtId="0" fontId="12" fillId="0" borderId="0" xfId="0" applyFont="1" applyBorder="1" applyAlignment="1">
      <alignment horizontal="center"/>
    </xf>
    <xf numFmtId="0" fontId="0" fillId="6" borderId="0" xfId="0" applyFill="1" applyBorder="1" applyAlignment="1">
      <alignment horizontal="center"/>
    </xf>
    <xf numFmtId="0" fontId="27" fillId="2" borderId="1" xfId="0" applyFont="1" applyFill="1" applyBorder="1" applyAlignment="1">
      <alignment horizontal="center" vertical="center" wrapText="1"/>
    </xf>
    <xf numFmtId="0" fontId="12" fillId="9" borderId="6" xfId="0" applyFont="1" applyFill="1" applyBorder="1" applyAlignment="1">
      <alignment horizontal="center" vertical="center"/>
    </xf>
    <xf numFmtId="0" fontId="12" fillId="9" borderId="0"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28" fillId="2" borderId="36" xfId="0" applyFont="1" applyFill="1" applyBorder="1" applyAlignment="1">
      <alignment horizontal="center"/>
    </xf>
    <xf numFmtId="0" fontId="28" fillId="2" borderId="25" xfId="0" applyFont="1" applyFill="1" applyBorder="1" applyAlignment="1">
      <alignment horizontal="center"/>
    </xf>
    <xf numFmtId="0" fontId="28" fillId="2" borderId="34" xfId="0" applyFont="1" applyFill="1" applyBorder="1" applyAlignment="1">
      <alignment horizontal="center"/>
    </xf>
    <xf numFmtId="0" fontId="28" fillId="3" borderId="36" xfId="0" applyFont="1" applyFill="1" applyBorder="1" applyAlignment="1">
      <alignment horizontal="center" wrapText="1"/>
    </xf>
    <xf numFmtId="0" fontId="28" fillId="3" borderId="25" xfId="0" applyFont="1" applyFill="1" applyBorder="1" applyAlignment="1">
      <alignment horizontal="center" wrapText="1"/>
    </xf>
    <xf numFmtId="0" fontId="28" fillId="3" borderId="34" xfId="0" applyFont="1" applyFill="1" applyBorder="1" applyAlignment="1">
      <alignment horizontal="center" wrapText="1"/>
    </xf>
    <xf numFmtId="0" fontId="28" fillId="8" borderId="1" xfId="0" applyFont="1" applyFill="1" applyBorder="1" applyAlignment="1">
      <alignment horizontal="center" vertical="center" wrapText="1"/>
    </xf>
    <xf numFmtId="0" fontId="12" fillId="4" borderId="6"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28" fillId="8" borderId="16" xfId="0" applyFont="1" applyFill="1" applyBorder="1" applyAlignment="1">
      <alignment horizontal="center" wrapText="1"/>
    </xf>
    <xf numFmtId="0" fontId="28" fillId="8" borderId="17" xfId="0" applyFont="1" applyFill="1" applyBorder="1" applyAlignment="1">
      <alignment horizontal="center" wrapText="1"/>
    </xf>
    <xf numFmtId="0" fontId="28" fillId="8" borderId="18" xfId="0" applyFont="1" applyFill="1" applyBorder="1" applyAlignment="1">
      <alignment horizontal="center" wrapText="1"/>
    </xf>
    <xf numFmtId="0" fontId="28" fillId="5" borderId="16" xfId="0" applyFont="1" applyFill="1" applyBorder="1" applyAlignment="1">
      <alignment horizontal="center" wrapText="1"/>
    </xf>
    <xf numFmtId="0" fontId="28" fillId="5" borderId="17" xfId="0" applyFont="1" applyFill="1" applyBorder="1" applyAlignment="1">
      <alignment horizontal="center" wrapText="1"/>
    </xf>
    <xf numFmtId="0" fontId="28" fillId="5" borderId="18" xfId="0" applyFont="1" applyFill="1" applyBorder="1" applyAlignment="1">
      <alignment horizontal="center" wrapText="1"/>
    </xf>
    <xf numFmtId="0" fontId="28" fillId="5" borderId="16" xfId="0" applyFont="1" applyFill="1" applyBorder="1" applyAlignment="1">
      <alignment horizontal="center"/>
    </xf>
    <xf numFmtId="0" fontId="28" fillId="5" borderId="17" xfId="0" applyFont="1" applyFill="1" applyBorder="1" applyAlignment="1">
      <alignment horizontal="center"/>
    </xf>
    <xf numFmtId="0" fontId="28" fillId="5" borderId="18" xfId="0" applyFont="1" applyFill="1" applyBorder="1" applyAlignment="1">
      <alignment horizontal="center"/>
    </xf>
    <xf numFmtId="0" fontId="28" fillId="8" borderId="12" xfId="0" applyFont="1" applyFill="1" applyBorder="1" applyAlignment="1">
      <alignment horizontal="center" vertical="center" wrapText="1"/>
    </xf>
    <xf numFmtId="9" fontId="12" fillId="0" borderId="1" xfId="1" applyFont="1" applyBorder="1" applyAlignment="1" applyProtection="1">
      <alignment horizontal="center" vertical="center"/>
    </xf>
    <xf numFmtId="9" fontId="12" fillId="0" borderId="12" xfId="1" applyFont="1" applyBorder="1" applyAlignment="1" applyProtection="1">
      <alignment horizontal="center" vertical="center"/>
    </xf>
    <xf numFmtId="0" fontId="28" fillId="2" borderId="46" xfId="0" applyFont="1" applyFill="1" applyBorder="1" applyAlignment="1">
      <alignment horizontal="center" wrapText="1"/>
    </xf>
    <xf numFmtId="0" fontId="28" fillId="2" borderId="47" xfId="0" applyFont="1" applyFill="1" applyBorder="1" applyAlignment="1">
      <alignment horizontal="center" wrapText="1"/>
    </xf>
    <xf numFmtId="0" fontId="8" fillId="0" borderId="0" xfId="0" applyFont="1" applyAlignment="1">
      <alignment horizontal="center"/>
    </xf>
    <xf numFmtId="0" fontId="7" fillId="3" borderId="24" xfId="0" applyFont="1" applyFill="1" applyBorder="1" applyAlignment="1">
      <alignment horizontal="center" wrapText="1"/>
    </xf>
    <xf numFmtId="0" fontId="7" fillId="3" borderId="25" xfId="0" applyFont="1" applyFill="1" applyBorder="1" applyAlignment="1">
      <alignment horizontal="center" wrapText="1"/>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1" xfId="0" applyFont="1" applyFill="1" applyBorder="1" applyAlignment="1">
      <alignment horizontal="center" wrapText="1"/>
    </xf>
  </cellXfs>
  <cellStyles count="84">
    <cellStyle name="20% - Accent1 2" xfId="23" xr:uid="{00000000-0005-0000-0000-000000000000}"/>
    <cellStyle name="20% - Accent1 2 2" xfId="40" xr:uid="{00000000-0005-0000-0000-000001000000}"/>
    <cellStyle name="20% - Accent1 2 2 2" xfId="66" xr:uid="{00000000-0005-0000-0000-000002000000}"/>
    <cellStyle name="20% - Accent1 2 2_Sewer Cost Data" xfId="75" xr:uid="{AA065D3E-BC6B-4BD1-926D-51B953232D06}"/>
    <cellStyle name="20% - Accent1 2 3" xfId="55" xr:uid="{00000000-0005-0000-0000-000003000000}"/>
    <cellStyle name="20% - Accent1 2_Sewer Cost Data" xfId="74" xr:uid="{5C5F657E-9FEE-4760-BB6C-5F410422CB9A}"/>
    <cellStyle name="Comma" xfId="3" builtinId="3"/>
    <cellStyle name="Comma 2" xfId="6" xr:uid="{00000000-0005-0000-0000-000005000000}"/>
    <cellStyle name="Comma 3" xfId="10" xr:uid="{00000000-0005-0000-0000-000006000000}"/>
    <cellStyle name="Comma 4" xfId="36" xr:uid="{00000000-0005-0000-0000-000007000000}"/>
    <cellStyle name="Comma 4 2" xfId="62" xr:uid="{00000000-0005-0000-0000-000008000000}"/>
    <cellStyle name="Comma 6" xfId="21" xr:uid="{00000000-0005-0000-0000-000009000000}"/>
    <cellStyle name="Currency" xfId="2" builtinId="4"/>
    <cellStyle name="Currency [0] 2" xfId="9" xr:uid="{00000000-0005-0000-0000-00000B000000}"/>
    <cellStyle name="Currency [0] 2 2" xfId="39" xr:uid="{00000000-0005-0000-0000-00000C000000}"/>
    <cellStyle name="Currency [0] 2 2 2" xfId="65" xr:uid="{00000000-0005-0000-0000-00000D000000}"/>
    <cellStyle name="Currency [0] 2 3" xfId="54" xr:uid="{00000000-0005-0000-0000-00000E000000}"/>
    <cellStyle name="Currency 10" xfId="35" xr:uid="{00000000-0005-0000-0000-00000F000000}"/>
    <cellStyle name="Currency 11" xfId="44" xr:uid="{00000000-0005-0000-0000-000010000000}"/>
    <cellStyle name="Currency 12" xfId="45" xr:uid="{00000000-0005-0000-0000-000011000000}"/>
    <cellStyle name="Currency 13" xfId="46" xr:uid="{00000000-0005-0000-0000-000012000000}"/>
    <cellStyle name="Currency 14" xfId="47" xr:uid="{00000000-0005-0000-0000-000013000000}"/>
    <cellStyle name="Currency 14 2" xfId="70" xr:uid="{00000000-0005-0000-0000-000014000000}"/>
    <cellStyle name="Currency 15" xfId="50" xr:uid="{00000000-0005-0000-0000-000015000000}"/>
    <cellStyle name="Currency 15 2" xfId="73" xr:uid="{00000000-0005-0000-0000-000016000000}"/>
    <cellStyle name="Currency 16" xfId="49" xr:uid="{00000000-0005-0000-0000-000017000000}"/>
    <cellStyle name="Currency 16 2" xfId="72" xr:uid="{00000000-0005-0000-0000-000018000000}"/>
    <cellStyle name="Currency 17" xfId="51" xr:uid="{00000000-0005-0000-0000-000019000000}"/>
    <cellStyle name="Currency 18" xfId="56" xr:uid="{00000000-0005-0000-0000-00001A000000}"/>
    <cellStyle name="Currency 2" xfId="8" xr:uid="{00000000-0005-0000-0000-00001B000000}"/>
    <cellStyle name="Currency 2 2" xfId="29" xr:uid="{00000000-0005-0000-0000-00001C000000}"/>
    <cellStyle name="Currency 2 3" xfId="38" xr:uid="{00000000-0005-0000-0000-00001D000000}"/>
    <cellStyle name="Currency 2 3 2" xfId="64" xr:uid="{00000000-0005-0000-0000-00001E000000}"/>
    <cellStyle name="Currency 2 4" xfId="53" xr:uid="{00000000-0005-0000-0000-00001F000000}"/>
    <cellStyle name="Currency 3" xfId="11" xr:uid="{00000000-0005-0000-0000-000020000000}"/>
    <cellStyle name="Currency 4" xfId="12" xr:uid="{00000000-0005-0000-0000-000021000000}"/>
    <cellStyle name="Currency 5" xfId="17" xr:uid="{00000000-0005-0000-0000-000022000000}"/>
    <cellStyle name="Currency 6" xfId="22" xr:uid="{00000000-0005-0000-0000-000023000000}"/>
    <cellStyle name="Currency 7" xfId="26" xr:uid="{00000000-0005-0000-0000-000024000000}"/>
    <cellStyle name="Currency 8" xfId="5" xr:uid="{00000000-0005-0000-0000-000025000000}"/>
    <cellStyle name="Currency 9" xfId="28" xr:uid="{00000000-0005-0000-0000-000026000000}"/>
    <cellStyle name="Currency 9 2" xfId="42" xr:uid="{00000000-0005-0000-0000-000027000000}"/>
    <cellStyle name="Currency 9 2 2" xfId="68" xr:uid="{00000000-0005-0000-0000-000028000000}"/>
    <cellStyle name="Currency 9 3" xfId="58" xr:uid="{00000000-0005-0000-0000-000029000000}"/>
    <cellStyle name="Description" xfId="18" xr:uid="{00000000-0005-0000-0000-00002A000000}"/>
    <cellStyle name="Hyperlink 2" xfId="30" xr:uid="{00000000-0005-0000-0000-00002B000000}"/>
    <cellStyle name="Normal" xfId="0" builtinId="0"/>
    <cellStyle name="Normal 10" xfId="32" xr:uid="{00000000-0005-0000-0000-00002D000000}"/>
    <cellStyle name="Normal 10 2" xfId="60" xr:uid="{00000000-0005-0000-0000-00002E000000}"/>
    <cellStyle name="Normal 10_Sewer Cost Data" xfId="76" xr:uid="{F6C37D58-E7D8-4B90-8623-4D3753E7520F}"/>
    <cellStyle name="Normal 2" xfId="7" xr:uid="{00000000-0005-0000-0000-00002F000000}"/>
    <cellStyle name="Normal 2 2" xfId="24" xr:uid="{00000000-0005-0000-0000-000030000000}"/>
    <cellStyle name="Normal 2 3" xfId="25" xr:uid="{00000000-0005-0000-0000-000031000000}"/>
    <cellStyle name="Normal 2 4" xfId="37" xr:uid="{00000000-0005-0000-0000-000032000000}"/>
    <cellStyle name="Normal 2 4 2" xfId="63" xr:uid="{00000000-0005-0000-0000-000033000000}"/>
    <cellStyle name="Normal 2 4_Sewer Cost Data" xfId="78" xr:uid="{102693CA-76AB-446D-A78D-9E84EA09E30C}"/>
    <cellStyle name="Normal 2 5" xfId="52" xr:uid="{00000000-0005-0000-0000-000034000000}"/>
    <cellStyle name="Normal 2_Sewer Cost Data" xfId="77" xr:uid="{E9FDF94C-95DC-43E1-94F9-0ED5E4F868C0}"/>
    <cellStyle name="Normal 3" xfId="13" xr:uid="{00000000-0005-0000-0000-000035000000}"/>
    <cellStyle name="Normal 4" xfId="16" xr:uid="{00000000-0005-0000-0000-000036000000}"/>
    <cellStyle name="Normal 5" xfId="20" xr:uid="{00000000-0005-0000-0000-000037000000}"/>
    <cellStyle name="Normal 6" xfId="4" xr:uid="{00000000-0005-0000-0000-000038000000}"/>
    <cellStyle name="Normal 7" xfId="27" xr:uid="{00000000-0005-0000-0000-000039000000}"/>
    <cellStyle name="Normal 7 2" xfId="41" xr:uid="{00000000-0005-0000-0000-00003A000000}"/>
    <cellStyle name="Normal 7 2 2" xfId="67" xr:uid="{00000000-0005-0000-0000-00003B000000}"/>
    <cellStyle name="Normal 7 2_Sewer Cost Data" xfId="80" xr:uid="{EB44F22E-C6F1-4A0F-B300-31D5BAEF2F76}"/>
    <cellStyle name="Normal 7 3" xfId="57" xr:uid="{00000000-0005-0000-0000-00003C000000}"/>
    <cellStyle name="Normal 7_Sewer Cost Data" xfId="79" xr:uid="{A5693FA9-984A-4FA8-959E-6BCF6C804687}"/>
    <cellStyle name="Normal 8" xfId="31" xr:uid="{00000000-0005-0000-0000-00003D000000}"/>
    <cellStyle name="Normal 8 2" xfId="43" xr:uid="{00000000-0005-0000-0000-00003E000000}"/>
    <cellStyle name="Normal 8 2 2" xfId="69" xr:uid="{00000000-0005-0000-0000-00003F000000}"/>
    <cellStyle name="Normal 8 2_Sewer Cost Data" xfId="82" xr:uid="{52D7664D-5C04-4001-BCA0-3E1105302339}"/>
    <cellStyle name="Normal 8 3" xfId="59" xr:uid="{00000000-0005-0000-0000-000040000000}"/>
    <cellStyle name="Normal 8_Sewer Cost Data" xfId="81" xr:uid="{3E274DAB-3D1E-4955-9276-9ED5F010238D}"/>
    <cellStyle name="Normal 9" xfId="33" xr:uid="{00000000-0005-0000-0000-000041000000}"/>
    <cellStyle name="Normal 9 2" xfId="61" xr:uid="{00000000-0005-0000-0000-000042000000}"/>
    <cellStyle name="Normal 9_Sewer Cost Data" xfId="83" xr:uid="{826F6DA0-8911-45BD-B83F-D4CEB6DF2351}"/>
    <cellStyle name="Percent" xfId="1" builtinId="5"/>
    <cellStyle name="Percent 2" xfId="14" xr:uid="{00000000-0005-0000-0000-000044000000}"/>
    <cellStyle name="Percent 3" xfId="15" xr:uid="{00000000-0005-0000-0000-000045000000}"/>
    <cellStyle name="Percent 4" xfId="34" xr:uid="{00000000-0005-0000-0000-000046000000}"/>
    <cellStyle name="Percent 5" xfId="48" xr:uid="{00000000-0005-0000-0000-000047000000}"/>
    <cellStyle name="Percent 5 2" xfId="71" xr:uid="{00000000-0005-0000-0000-000048000000}"/>
    <cellStyle name="Units" xfId="19" xr:uid="{00000000-0005-0000-0000-00004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19</xdr:col>
      <xdr:colOff>435428</xdr:colOff>
      <xdr:row>0</xdr:row>
      <xdr:rowOff>190501</xdr:rowOff>
    </xdr:from>
    <xdr:to>
      <xdr:col>20</xdr:col>
      <xdr:colOff>701584</xdr:colOff>
      <xdr:row>8</xdr:row>
      <xdr:rowOff>19891</xdr:rowOff>
    </xdr:to>
    <xdr:pic>
      <xdr:nvPicPr>
        <xdr:cNvPr id="3" name="Picture 2" descr="https://www.logolynx.com/images/logolynx/a0/a0b2f72abe5af40ef3177d1920075ba3.jpeg">
          <a:extLst>
            <a:ext uri="{FF2B5EF4-FFF2-40B4-BE49-F238E27FC236}">
              <a16:creationId xmlns:a16="http://schemas.microsoft.com/office/drawing/2014/main" id="{3477148A-A7A2-4C27-9AC0-EA66EF29475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254" t="18623" r="25876" b="19061"/>
        <a:stretch/>
      </xdr:blipFill>
      <xdr:spPr bwMode="auto">
        <a:xfrm>
          <a:off x="18369642" y="190501"/>
          <a:ext cx="2013857" cy="1889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600075</xdr:colOff>
      <xdr:row>2</xdr:row>
      <xdr:rowOff>95250</xdr:rowOff>
    </xdr:from>
    <xdr:to>
      <xdr:col>11</xdr:col>
      <xdr:colOff>147266</xdr:colOff>
      <xdr:row>29</xdr:row>
      <xdr:rowOff>113524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6791325" y="419100"/>
          <a:ext cx="4423991" cy="45712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2"/>
  <sheetViews>
    <sheetView tabSelected="1" zoomScaleNormal="100" workbookViewId="0">
      <selection activeCell="E12" sqref="E12"/>
    </sheetView>
  </sheetViews>
  <sheetFormatPr defaultRowHeight="13.2" x14ac:dyDescent="0.25"/>
  <cols>
    <col min="1" max="3" width="9.6640625" customWidth="1"/>
    <col min="4" max="4" width="6.109375" bestFit="1" customWidth="1"/>
    <col min="5" max="5" width="15" customWidth="1"/>
    <col min="6" max="6" width="10.44140625" bestFit="1" customWidth="1"/>
    <col min="7" max="7" width="10.109375" customWidth="1"/>
    <col min="8" max="8" width="12.6640625" customWidth="1"/>
    <col min="9" max="9" width="9.33203125" customWidth="1"/>
    <col min="10" max="10" width="6.109375" bestFit="1" customWidth="1"/>
    <col min="11" max="11" width="15.109375" bestFit="1" customWidth="1"/>
    <col min="12" max="12" width="10.33203125" bestFit="1" customWidth="1"/>
    <col min="13" max="13" width="10.33203125" customWidth="1"/>
    <col min="14" max="14" width="12.6640625" customWidth="1"/>
    <col min="15" max="15" width="9.33203125" customWidth="1"/>
    <col min="16" max="16" width="6.109375" bestFit="1" customWidth="1"/>
    <col min="17" max="17" width="14" customWidth="1"/>
    <col min="18" max="18" width="12.6640625" customWidth="1"/>
    <col min="19" max="19" width="8.33203125" bestFit="1" customWidth="1"/>
    <col min="20" max="20" width="6.109375" bestFit="1" customWidth="1"/>
    <col min="21" max="21" width="13.33203125" customWidth="1"/>
    <col min="22" max="22" width="12.6640625" customWidth="1"/>
    <col min="23" max="23" width="8.33203125" bestFit="1" customWidth="1"/>
    <col min="24" max="24" width="6.109375" bestFit="1" customWidth="1"/>
    <col min="25" max="25" width="17.109375" customWidth="1"/>
    <col min="26" max="26" width="12.6640625" customWidth="1"/>
    <col min="27" max="27" width="8.33203125" bestFit="1" customWidth="1"/>
    <col min="28" max="28" width="10.33203125" bestFit="1" customWidth="1"/>
    <col min="29" max="29" width="12.44140625" customWidth="1"/>
    <col min="30" max="30" width="9.109375" customWidth="1"/>
    <col min="31" max="31" width="13.6640625" customWidth="1"/>
    <col min="33" max="34" width="10.44140625" customWidth="1"/>
    <col min="35" max="35" width="14.5546875" customWidth="1"/>
    <col min="36" max="36" width="15.44140625" style="4" customWidth="1"/>
    <col min="37" max="37" width="8.6640625" style="4" bestFit="1" customWidth="1"/>
    <col min="38" max="38" width="14.109375" style="4" bestFit="1" customWidth="1"/>
    <col min="39" max="39" width="10.33203125" style="4" bestFit="1" customWidth="1"/>
  </cols>
  <sheetData>
    <row r="1" spans="1:39" s="115" customFormat="1" ht="19.5" customHeight="1" x14ac:dyDescent="0.25">
      <c r="A1" s="207" t="s">
        <v>0</v>
      </c>
      <c r="B1" s="208"/>
      <c r="C1" s="208"/>
      <c r="D1" s="208"/>
      <c r="E1" s="208"/>
      <c r="F1" s="208"/>
      <c r="G1" s="208"/>
      <c r="H1" s="209"/>
      <c r="I1" s="208" t="s">
        <v>1</v>
      </c>
      <c r="J1" s="208"/>
      <c r="K1" s="208"/>
      <c r="L1" s="208"/>
      <c r="M1" s="208"/>
      <c r="N1" s="209"/>
      <c r="O1" s="207" t="s">
        <v>2</v>
      </c>
      <c r="P1" s="208"/>
      <c r="Q1" s="208"/>
      <c r="R1" s="209"/>
      <c r="S1" s="207" t="s">
        <v>3</v>
      </c>
      <c r="T1" s="208"/>
      <c r="U1" s="208"/>
      <c r="V1" s="209"/>
      <c r="W1" s="207" t="s">
        <v>4</v>
      </c>
      <c r="X1" s="208"/>
      <c r="Y1" s="208"/>
      <c r="Z1" s="209"/>
      <c r="AA1" s="207" t="s">
        <v>5</v>
      </c>
      <c r="AB1" s="208"/>
      <c r="AC1" s="209"/>
      <c r="AD1" s="205" t="s">
        <v>6</v>
      </c>
      <c r="AE1" s="206"/>
      <c r="AF1" s="205" t="s">
        <v>7</v>
      </c>
      <c r="AG1" s="206"/>
      <c r="AH1" s="205" t="s">
        <v>8</v>
      </c>
      <c r="AI1" s="206"/>
      <c r="AJ1" s="205" t="s">
        <v>9</v>
      </c>
      <c r="AK1" s="206"/>
      <c r="AL1" s="205" t="s">
        <v>10</v>
      </c>
      <c r="AM1" s="206"/>
    </row>
    <row r="2" spans="1:39" s="8" customFormat="1" ht="26.4" x14ac:dyDescent="0.25">
      <c r="A2" s="11" t="s">
        <v>11</v>
      </c>
      <c r="B2" s="10" t="s">
        <v>12</v>
      </c>
      <c r="C2" s="10" t="s">
        <v>13</v>
      </c>
      <c r="D2" s="10" t="s">
        <v>14</v>
      </c>
      <c r="E2" s="10" t="s">
        <v>15</v>
      </c>
      <c r="F2" s="10" t="s">
        <v>16</v>
      </c>
      <c r="G2" s="10" t="s">
        <v>17</v>
      </c>
      <c r="H2" s="12" t="s">
        <v>18</v>
      </c>
      <c r="I2" s="21" t="s">
        <v>19</v>
      </c>
      <c r="J2" s="10" t="s">
        <v>14</v>
      </c>
      <c r="K2" s="10" t="s">
        <v>15</v>
      </c>
      <c r="L2" s="10" t="s">
        <v>16</v>
      </c>
      <c r="M2" s="13" t="s">
        <v>17</v>
      </c>
      <c r="N2" s="12" t="s">
        <v>18</v>
      </c>
      <c r="O2" s="11" t="s">
        <v>20</v>
      </c>
      <c r="P2" s="10" t="s">
        <v>14</v>
      </c>
      <c r="Q2" s="10" t="s">
        <v>21</v>
      </c>
      <c r="R2" s="12" t="s">
        <v>18</v>
      </c>
      <c r="S2" s="11" t="s">
        <v>20</v>
      </c>
      <c r="T2" s="10" t="s">
        <v>14</v>
      </c>
      <c r="U2" s="10" t="s">
        <v>21</v>
      </c>
      <c r="V2" s="12" t="s">
        <v>18</v>
      </c>
      <c r="W2" s="11" t="s">
        <v>20</v>
      </c>
      <c r="X2" s="10" t="s">
        <v>14</v>
      </c>
      <c r="Y2" s="10" t="s">
        <v>21</v>
      </c>
      <c r="Z2" s="12" t="s">
        <v>18</v>
      </c>
      <c r="AA2" s="11" t="s">
        <v>20</v>
      </c>
      <c r="AB2" s="10" t="s">
        <v>22</v>
      </c>
      <c r="AC2" s="12" t="s">
        <v>18</v>
      </c>
      <c r="AD2" s="11" t="s">
        <v>23</v>
      </c>
      <c r="AE2" s="12" t="s">
        <v>24</v>
      </c>
      <c r="AF2" s="11" t="s">
        <v>25</v>
      </c>
      <c r="AG2" s="12" t="s">
        <v>24</v>
      </c>
      <c r="AH2" s="20" t="s">
        <v>8</v>
      </c>
      <c r="AI2" s="20"/>
      <c r="AJ2" s="11" t="s">
        <v>26</v>
      </c>
      <c r="AK2" s="12" t="s">
        <v>27</v>
      </c>
      <c r="AL2" s="11" t="s">
        <v>26</v>
      </c>
      <c r="AM2" s="12" t="s">
        <v>27</v>
      </c>
    </row>
    <row r="3" spans="1:39" x14ac:dyDescent="0.25">
      <c r="A3" s="22"/>
      <c r="B3" s="23">
        <v>0</v>
      </c>
      <c r="C3" s="23" t="s">
        <v>28</v>
      </c>
      <c r="D3" s="23" t="s">
        <v>29</v>
      </c>
      <c r="E3" s="23" t="s">
        <v>30</v>
      </c>
      <c r="F3" s="14">
        <f>IF(E3=Data!$A$38,VLOOKUP('Sewer Project Data'!C3,'Sewer Cost Data'!$A$5:$G$11,7,FALSE),IF(E3=Data!$A$37,IF(D3="0-16",VLOOKUP(C3,'Sewer Cost Data'!$A$5:$G$11,5,FALSE),VLOOKUP(C3,'Sewer Cost Data'!$A$5:$G$11,6,FALSE)),VLOOKUP('Sewer Project Data'!C3,'Sewer Cost Data'!$A$5:$E$11,5,FALSE)))</f>
        <v>188</v>
      </c>
      <c r="G3" s="95">
        <f>IF(E3=Data!$A$37,1,IF(E3=Data!$A$38,1,IF('Sewer Project Data'!E3=Data!$A$39,VLOOKUP(C3,'Sewer Cost Data'!$A$16:$E$22,5,FALSE),IF(E3=Data!$A$40,VLOOKUP('Sewer Project Data'!C3,'Sewer Cost Data'!$A$16:$F$22,6,FALSE),VLOOKUP('Sewer Project Data'!C3,'Sewer Cost Data'!$A$16:$G$22,7,FALSE)))))</f>
        <v>1</v>
      </c>
      <c r="H3" s="15">
        <f t="shared" ref="H3:H27" si="0">IFERROR(F3*B3*G3,"")</f>
        <v>0</v>
      </c>
      <c r="I3" s="35" t="s">
        <v>31</v>
      </c>
      <c r="J3" s="23" t="s">
        <v>29</v>
      </c>
      <c r="K3" s="23" t="s">
        <v>30</v>
      </c>
      <c r="L3" s="14">
        <f>IF(K3=Data!$A$38,VLOOKUP('Sewer Project Data'!I3,'Sewer Cost Data'!$A$5:$G$12,7,FALSE),IF(K3=Data!$A$37,IF(J3="0-16",VLOOKUP(I3,'Sewer Cost Data'!$A$5:$G$12,5,FALSE),VLOOKUP(I3,'Sewer Cost Data'!$A$5:$G$12,6,FALSE)),VLOOKUP('Sewer Project Data'!I3,'Sewer Cost Data'!$A$5:$E$12,5,FALSE)))</f>
        <v>200</v>
      </c>
      <c r="M3" s="27">
        <f>IF(K3=Data!$A$37,1,IF(K3=Data!$A$38,1,IF('Sewer Project Data'!K3=Data!$A$39,VLOOKUP(I3,'Sewer Cost Data'!$A$16:$E$22,5,FALSE),IF(K3=Data!$A$40,VLOOKUP('Sewer Project Data'!I3,'Sewer Cost Data'!$A$16:$F$22,6,FALSE),VLOOKUP('Sewer Project Data'!I3,'Sewer Cost Data'!$A$16:$G$22,7,FALSE)))))</f>
        <v>1</v>
      </c>
      <c r="N3" s="15">
        <f t="shared" ref="N3:N27" si="1">IFERROR(L3*B3*M3,"")</f>
        <v>0</v>
      </c>
      <c r="O3" s="22">
        <v>0</v>
      </c>
      <c r="P3" s="23" t="s">
        <v>29</v>
      </c>
      <c r="Q3" s="14">
        <f>IFERROR(HLOOKUP(P3,'Sewer Cost Data'!$I$4:$J$7,2,FALSE),"")</f>
        <v>5082</v>
      </c>
      <c r="R3" s="15">
        <f>IFERROR(Q3*O3,"")</f>
        <v>0</v>
      </c>
      <c r="S3" s="22">
        <v>0</v>
      </c>
      <c r="T3" s="23" t="s">
        <v>29</v>
      </c>
      <c r="U3" s="14">
        <f>IFERROR(HLOOKUP(T3,'Sewer Cost Data'!$I$4:$J$7,3,FALSE),"")</f>
        <v>11098</v>
      </c>
      <c r="V3" s="15">
        <f>IFERROR(U3*S3,"")</f>
        <v>0</v>
      </c>
      <c r="W3" s="22">
        <v>0</v>
      </c>
      <c r="X3" s="23" t="s">
        <v>29</v>
      </c>
      <c r="Y3" s="14">
        <f>IFERROR(HLOOKUP(X3,'Sewer Cost Data'!$I$4:$J$7,4,FALSE),"")</f>
        <v>17589</v>
      </c>
      <c r="Z3" s="15">
        <f>IFERROR(Y3*W3,"")</f>
        <v>0</v>
      </c>
      <c r="AA3" s="22">
        <v>0</v>
      </c>
      <c r="AB3" s="16">
        <f>IFERROR(IF(AA3&gt;0,'Sewer Cost Data'!$K$5,0),"")</f>
        <v>0</v>
      </c>
      <c r="AC3" s="17">
        <f>IFERROR(AB3*AA3,"")</f>
        <v>0</v>
      </c>
      <c r="AD3" s="134" t="s">
        <v>32</v>
      </c>
      <c r="AE3" s="15">
        <f>IF(B3&gt;150,IF(AD3="Yes",HLOOKUP(C3,'Sewer Cost Data'!$L$4:$S$5,2,FALSE)*'Sewer Project Data'!B3/150,0),IF(AD3="Yes",HLOOKUP(C3,'Sewer Cost Data'!$L$4:$S$5,2,FALSE),0))</f>
        <v>13458</v>
      </c>
      <c r="AF3" s="22">
        <v>0</v>
      </c>
      <c r="AG3" s="15">
        <f>IF(AF3&gt;0,IF(AF3&lt;10,'Sewer Cost Data'!$T$5,('Sewer Cost Data'!$T$5+('Sewer Cost Data'!$U$5+((AF3-10))*'Sewer Cost Data'!$U$5))),0)</f>
        <v>0</v>
      </c>
      <c r="AH3" s="22" t="s">
        <v>33</v>
      </c>
      <c r="AI3" s="15" t="b">
        <f>IF(AH3="Yes",B3*'Sewer Cost Data'!$V$5)</f>
        <v>0</v>
      </c>
      <c r="AJ3" s="18">
        <f>IFERROR(H3+R3+V3+Z3+AC3+AE3+AG3+AI3,"")</f>
        <v>13458</v>
      </c>
      <c r="AK3" s="19" t="str">
        <f t="shared" ref="AK3:AK27" si="2">IFERROR(AJ3/B3,"")</f>
        <v/>
      </c>
      <c r="AL3" s="18">
        <f>IFERROR(N3+R3+V3+Z3+AC3+AE3+AG3+AI3,"")</f>
        <v>13458</v>
      </c>
      <c r="AM3" s="19" t="str">
        <f t="shared" ref="AM3:AM27" si="3">IFERROR(AL3/B3,"")</f>
        <v/>
      </c>
    </row>
    <row r="4" spans="1:39" x14ac:dyDescent="0.25">
      <c r="A4" s="22"/>
      <c r="B4" s="23">
        <v>0</v>
      </c>
      <c r="C4" s="23" t="s">
        <v>28</v>
      </c>
      <c r="D4" s="23" t="s">
        <v>29</v>
      </c>
      <c r="E4" s="23" t="s">
        <v>30</v>
      </c>
      <c r="F4" s="14">
        <f>IF(E4=Data!$A$38,VLOOKUP('Sewer Project Data'!C4,'Sewer Cost Data'!$A$5:$G$11,7,FALSE),IF(E4=Data!$A$37,IF(D4="0-16",VLOOKUP(C4,'Sewer Cost Data'!$A$5:$G$11,5,FALSE),VLOOKUP(C4,'Sewer Cost Data'!$A$5:$G$11,6,FALSE)),VLOOKUP('Sewer Project Data'!C4,'Sewer Cost Data'!$A$5:$E$11,5,FALSE)))</f>
        <v>188</v>
      </c>
      <c r="G4" s="95">
        <f>IF(E4=Data!$A$37,1,IF(E4=Data!$A$38,1,IF('Sewer Project Data'!E4=Data!$A$39,VLOOKUP(C4,'Sewer Cost Data'!$A$16:$E$22,5,FALSE),IF(E4=Data!$A$40,VLOOKUP('Sewer Project Data'!C4,'Sewer Cost Data'!$A$16:$F$22,6,FALSE),VLOOKUP('Sewer Project Data'!C4,'Sewer Cost Data'!$A$16:$G$22,7,FALSE)))))</f>
        <v>1</v>
      </c>
      <c r="H4" s="15">
        <f t="shared" si="0"/>
        <v>0</v>
      </c>
      <c r="I4" s="35" t="s">
        <v>31</v>
      </c>
      <c r="J4" s="23" t="s">
        <v>29</v>
      </c>
      <c r="K4" s="23" t="s">
        <v>30</v>
      </c>
      <c r="L4" s="14">
        <f>IF(K4=Data!$A$38,VLOOKUP('Sewer Project Data'!I4,'Sewer Cost Data'!$A$5:$G$12,7,FALSE),IF(K4=Data!$A$37,IF(J4="0-16",VLOOKUP(I4,'Sewer Cost Data'!$A$5:$G$12,5,FALSE),VLOOKUP(I4,'Sewer Cost Data'!$A$5:$G$12,6,FALSE)),VLOOKUP('Sewer Project Data'!I4,'Sewer Cost Data'!$A$5:$E$12,5,FALSE)))</f>
        <v>200</v>
      </c>
      <c r="M4" s="27">
        <f>IF(K4=Data!$A$37,1,IF(K4=Data!$A$38,1,IF('Sewer Project Data'!K4=Data!$A$39,VLOOKUP(I4,'Sewer Cost Data'!$A$16:$E$22,5,FALSE),IF(K4=Data!$A$40,VLOOKUP('Sewer Project Data'!I4,'Sewer Cost Data'!$A$16:$F$22,6,FALSE),VLOOKUP('Sewer Project Data'!I4,'Sewer Cost Data'!$A$16:$G$22,7,FALSE)))))</f>
        <v>1</v>
      </c>
      <c r="N4" s="15">
        <f t="shared" si="1"/>
        <v>0</v>
      </c>
      <c r="O4" s="22">
        <v>0</v>
      </c>
      <c r="P4" s="23" t="s">
        <v>29</v>
      </c>
      <c r="Q4" s="14">
        <f>IFERROR(HLOOKUP(P4,'Sewer Cost Data'!$I$4:$J$7,2,FALSE),"")</f>
        <v>5082</v>
      </c>
      <c r="R4" s="15">
        <f t="shared" ref="R4:R22" si="4">IFERROR(Q4*O4,"")</f>
        <v>0</v>
      </c>
      <c r="S4" s="22">
        <v>0</v>
      </c>
      <c r="T4" s="23" t="s">
        <v>29</v>
      </c>
      <c r="U4" s="14">
        <f>IFERROR(HLOOKUP(T4,'Sewer Cost Data'!$I$4:$J$7,3,FALSE),"")</f>
        <v>11098</v>
      </c>
      <c r="V4" s="15">
        <f>IFERROR(U4*S4,"")</f>
        <v>0</v>
      </c>
      <c r="W4" s="22">
        <v>0</v>
      </c>
      <c r="X4" s="23" t="s">
        <v>29</v>
      </c>
      <c r="Y4" s="14">
        <f>IFERROR(HLOOKUP(X4,'Sewer Cost Data'!$I$4:$J$7,4,FALSE),"")</f>
        <v>17589</v>
      </c>
      <c r="Z4" s="15">
        <f t="shared" ref="Z4:Z22" si="5">IFERROR(Y4*W4,"")</f>
        <v>0</v>
      </c>
      <c r="AA4" s="22">
        <v>0</v>
      </c>
      <c r="AB4" s="16">
        <f>IFERROR(IF(AA4&gt;0,'Sewer Cost Data'!$K$5,0),"")</f>
        <v>0</v>
      </c>
      <c r="AC4" s="17">
        <f t="shared" ref="AC4:AC22" si="6">IFERROR(AB4*AA4,"")</f>
        <v>0</v>
      </c>
      <c r="AD4" s="134" t="s">
        <v>32</v>
      </c>
      <c r="AE4" s="15">
        <f>IF(B4&gt;150,IF(AD4="Yes",HLOOKUP(C4,'Sewer Cost Data'!$L$4:$S$5,2,FALSE)*'Sewer Project Data'!B4/150,0),IF(AD4="Yes",HLOOKUP(C4,'Sewer Cost Data'!$L$4:$S$5,2,FALSE),0))</f>
        <v>13458</v>
      </c>
      <c r="AF4" s="22">
        <v>0</v>
      </c>
      <c r="AG4" s="15">
        <f>IF(AF4&gt;0,IF(AF4&lt;10,'Sewer Cost Data'!$T$5,('Sewer Cost Data'!$T$5+('Sewer Cost Data'!$U$5+((AF4-10))*'Sewer Cost Data'!$U$5))),0)</f>
        <v>0</v>
      </c>
      <c r="AH4" s="22" t="s">
        <v>33</v>
      </c>
      <c r="AI4" s="15" t="b">
        <f>IF(AH4="Yes",B4*'Sewer Cost Data'!$V$5)</f>
        <v>0</v>
      </c>
      <c r="AJ4" s="18">
        <f t="shared" ref="AJ4:AJ22" si="7">IFERROR(H4+R4+V4+Z4+AC4+AE4+AG4+AI4,"")</f>
        <v>13458</v>
      </c>
      <c r="AK4" s="19" t="str">
        <f t="shared" si="2"/>
        <v/>
      </c>
      <c r="AL4" s="18">
        <f t="shared" ref="AL4:AL22" si="8">IFERROR(N4+R4+V4+Z4+AC4+AE4+AG4+AI4,"")</f>
        <v>13458</v>
      </c>
      <c r="AM4" s="19" t="str">
        <f t="shared" si="3"/>
        <v/>
      </c>
    </row>
    <row r="5" spans="1:39" x14ac:dyDescent="0.25">
      <c r="A5" s="22"/>
      <c r="B5" s="23">
        <v>0</v>
      </c>
      <c r="C5" s="23" t="s">
        <v>28</v>
      </c>
      <c r="D5" s="23" t="s">
        <v>29</v>
      </c>
      <c r="E5" s="23" t="s">
        <v>30</v>
      </c>
      <c r="F5" s="14">
        <f>IF(E5=Data!$A$38,VLOOKUP('Sewer Project Data'!C5,'Sewer Cost Data'!$A$5:$G$11,7,FALSE),IF(E5=Data!$A$37,IF(D5="0-16",VLOOKUP(C5,'Sewer Cost Data'!$A$5:$G$11,5,FALSE),VLOOKUP(C5,'Sewer Cost Data'!$A$5:$G$11,6,FALSE)),VLOOKUP('Sewer Project Data'!C5,'Sewer Cost Data'!$A$5:$E$11,5,FALSE)))</f>
        <v>188</v>
      </c>
      <c r="G5" s="95">
        <f>IF(E5=Data!$A$37,1,IF(E5=Data!$A$38,1,IF('Sewer Project Data'!E5=Data!$A$39,VLOOKUP(C5,'Sewer Cost Data'!$A$16:$E$22,5,FALSE),IF(E5=Data!$A$40,VLOOKUP('Sewer Project Data'!C5,'Sewer Cost Data'!$A$16:$F$22,6,FALSE),VLOOKUP('Sewer Project Data'!C5,'Sewer Cost Data'!$A$16:$G$22,7,FALSE)))))</f>
        <v>1</v>
      </c>
      <c r="H5" s="15">
        <f t="shared" si="0"/>
        <v>0</v>
      </c>
      <c r="I5" s="35" t="s">
        <v>31</v>
      </c>
      <c r="J5" s="23" t="s">
        <v>29</v>
      </c>
      <c r="K5" s="23" t="s">
        <v>30</v>
      </c>
      <c r="L5" s="14">
        <f>IF(K5=Data!$A$38,VLOOKUP('Sewer Project Data'!I5,'Sewer Cost Data'!$A$5:$G$12,7,FALSE),IF(K5=Data!$A$37,IF(J5="0-16",VLOOKUP(I5,'Sewer Cost Data'!$A$5:$G$12,5,FALSE),VLOOKUP(I5,'Sewer Cost Data'!$A$5:$G$12,6,FALSE)),VLOOKUP('Sewer Project Data'!I5,'Sewer Cost Data'!$A$5:$E$12,5,FALSE)))</f>
        <v>200</v>
      </c>
      <c r="M5" s="27">
        <f>IF(K5=Data!$A$37,1,IF(K5=Data!$A$38,1,IF('Sewer Project Data'!K5=Data!$A$39,VLOOKUP(I5,'Sewer Cost Data'!$A$16:$E$22,5,FALSE),IF(K5=Data!$A$40,VLOOKUP('Sewer Project Data'!I5,'Sewer Cost Data'!$A$16:$F$22,6,FALSE),VLOOKUP('Sewer Project Data'!I5,'Sewer Cost Data'!$A$16:$G$22,7,FALSE)))))</f>
        <v>1</v>
      </c>
      <c r="N5" s="15">
        <f t="shared" si="1"/>
        <v>0</v>
      </c>
      <c r="O5" s="22">
        <v>0</v>
      </c>
      <c r="P5" s="23" t="s">
        <v>29</v>
      </c>
      <c r="Q5" s="14">
        <f>IFERROR(HLOOKUP(P5,'Sewer Cost Data'!$I$4:$J$7,2,FALSE),"")</f>
        <v>5082</v>
      </c>
      <c r="R5" s="15">
        <f t="shared" si="4"/>
        <v>0</v>
      </c>
      <c r="S5" s="22">
        <v>0</v>
      </c>
      <c r="T5" s="23" t="s">
        <v>29</v>
      </c>
      <c r="U5" s="14">
        <f>IFERROR(HLOOKUP(T5,'Sewer Cost Data'!$I$4:$J$7,3,FALSE),"")</f>
        <v>11098</v>
      </c>
      <c r="V5" s="15">
        <f t="shared" ref="V5:V22" si="9">IFERROR(U5*S5,"")</f>
        <v>0</v>
      </c>
      <c r="W5" s="22">
        <v>0</v>
      </c>
      <c r="X5" s="23" t="s">
        <v>29</v>
      </c>
      <c r="Y5" s="14">
        <f>IFERROR(HLOOKUP(X5,'Sewer Cost Data'!$I$4:$J$7,4,FALSE),"")</f>
        <v>17589</v>
      </c>
      <c r="Z5" s="15">
        <f t="shared" si="5"/>
        <v>0</v>
      </c>
      <c r="AA5" s="22">
        <v>0</v>
      </c>
      <c r="AB5" s="16">
        <f>IFERROR(IF(AA5&gt;0,'Sewer Cost Data'!$K$5,0),"")</f>
        <v>0</v>
      </c>
      <c r="AC5" s="17">
        <f t="shared" si="6"/>
        <v>0</v>
      </c>
      <c r="AD5" s="134" t="s">
        <v>32</v>
      </c>
      <c r="AE5" s="15">
        <f>IF(B5&gt;150,IF(AD5="Yes",HLOOKUP(C5,'Sewer Cost Data'!$L$4:$S$5,2,FALSE)*'Sewer Project Data'!B5/150,0),IF(AD5="Yes",HLOOKUP(C5,'Sewer Cost Data'!$L$4:$S$5,2,FALSE),0))</f>
        <v>13458</v>
      </c>
      <c r="AF5" s="22">
        <v>0</v>
      </c>
      <c r="AG5" s="15">
        <f>IF(AF5&gt;0,IF(AF5&lt;10,'Sewer Cost Data'!$T$5,('Sewer Cost Data'!$T$5+('Sewer Cost Data'!$U$5+((AF5-10))*'Sewer Cost Data'!$U$5))),0)</f>
        <v>0</v>
      </c>
      <c r="AH5" s="22" t="s">
        <v>33</v>
      </c>
      <c r="AI5" s="15" t="b">
        <f>IF(AH5="Yes",B5*'Sewer Cost Data'!$V$5)</f>
        <v>0</v>
      </c>
      <c r="AJ5" s="18">
        <f t="shared" si="7"/>
        <v>13458</v>
      </c>
      <c r="AK5" s="19" t="str">
        <f t="shared" si="2"/>
        <v/>
      </c>
      <c r="AL5" s="18">
        <f t="shared" si="8"/>
        <v>13458</v>
      </c>
      <c r="AM5" s="19" t="str">
        <f t="shared" si="3"/>
        <v/>
      </c>
    </row>
    <row r="6" spans="1:39" x14ac:dyDescent="0.25">
      <c r="A6" s="22"/>
      <c r="B6" s="23">
        <v>0</v>
      </c>
      <c r="C6" s="23" t="s">
        <v>28</v>
      </c>
      <c r="D6" s="23" t="s">
        <v>29</v>
      </c>
      <c r="E6" s="23" t="s">
        <v>30</v>
      </c>
      <c r="F6" s="14">
        <f>IF(E6=Data!$A$38,VLOOKUP('Sewer Project Data'!C6,'Sewer Cost Data'!$A$5:$G$11,7,FALSE),IF(E6=Data!$A$37,IF(D6="0-16",VLOOKUP(C6,'Sewer Cost Data'!$A$5:$G$11,5,FALSE),VLOOKUP(C6,'Sewer Cost Data'!$A$5:$G$11,6,FALSE)),VLOOKUP('Sewer Project Data'!C6,'Sewer Cost Data'!$A$5:$E$11,5,FALSE)))</f>
        <v>188</v>
      </c>
      <c r="G6" s="95">
        <f>IF(E6=Data!$A$37,1,IF(E6=Data!$A$38,1,IF('Sewer Project Data'!E6=Data!$A$39,VLOOKUP(C6,'Sewer Cost Data'!$A$16:$E$22,5,FALSE),IF(E6=Data!$A$40,VLOOKUP('Sewer Project Data'!C6,'Sewer Cost Data'!$A$16:$F$22,6,FALSE),VLOOKUP('Sewer Project Data'!C6,'Sewer Cost Data'!$A$16:$G$22,7,FALSE)))))</f>
        <v>1</v>
      </c>
      <c r="H6" s="15">
        <f t="shared" si="0"/>
        <v>0</v>
      </c>
      <c r="I6" s="35" t="s">
        <v>31</v>
      </c>
      <c r="J6" s="23" t="s">
        <v>29</v>
      </c>
      <c r="K6" s="23" t="s">
        <v>30</v>
      </c>
      <c r="L6" s="14">
        <f>IF(K6=Data!$A$38,VLOOKUP('Sewer Project Data'!I6,'Sewer Cost Data'!$A$5:$G$12,7,FALSE),IF(K6=Data!$A$37,IF(J6="0-16",VLOOKUP(I6,'Sewer Cost Data'!$A$5:$G$12,5,FALSE),VLOOKUP(I6,'Sewer Cost Data'!$A$5:$G$12,6,FALSE)),VLOOKUP('Sewer Project Data'!I6,'Sewer Cost Data'!$A$5:$E$12,5,FALSE)))</f>
        <v>200</v>
      </c>
      <c r="M6" s="27">
        <f>IF(K6=Data!$A$37,1,IF(K6=Data!$A$38,1,IF('Sewer Project Data'!K6=Data!$A$39,VLOOKUP(I6,'Sewer Cost Data'!$A$16:$E$22,5,FALSE),IF(K6=Data!$A$40,VLOOKUP('Sewer Project Data'!I6,'Sewer Cost Data'!$A$16:$F$22,6,FALSE),VLOOKUP('Sewer Project Data'!I6,'Sewer Cost Data'!$A$16:$G$22,7,FALSE)))))</f>
        <v>1</v>
      </c>
      <c r="N6" s="15">
        <f t="shared" si="1"/>
        <v>0</v>
      </c>
      <c r="O6" s="22">
        <v>0</v>
      </c>
      <c r="P6" s="23" t="s">
        <v>29</v>
      </c>
      <c r="Q6" s="14">
        <f>IFERROR(HLOOKUP(P6,'Sewer Cost Data'!$I$4:$J$7,2,FALSE),"")</f>
        <v>5082</v>
      </c>
      <c r="R6" s="15">
        <f t="shared" si="4"/>
        <v>0</v>
      </c>
      <c r="S6" s="22">
        <v>0</v>
      </c>
      <c r="T6" s="23" t="s">
        <v>29</v>
      </c>
      <c r="U6" s="14">
        <f>IFERROR(HLOOKUP(T6,'Sewer Cost Data'!$I$4:$J$7,3,FALSE),"")</f>
        <v>11098</v>
      </c>
      <c r="V6" s="15">
        <f t="shared" si="9"/>
        <v>0</v>
      </c>
      <c r="W6" s="22">
        <v>0</v>
      </c>
      <c r="X6" s="23" t="s">
        <v>29</v>
      </c>
      <c r="Y6" s="14">
        <f>IFERROR(HLOOKUP(X6,'Sewer Cost Data'!$I$4:$J$7,4,FALSE),"")</f>
        <v>17589</v>
      </c>
      <c r="Z6" s="15">
        <f t="shared" si="5"/>
        <v>0</v>
      </c>
      <c r="AA6" s="22">
        <v>0</v>
      </c>
      <c r="AB6" s="16">
        <f>IFERROR(IF(AA6&gt;0,'Sewer Cost Data'!$K$5,0),"")</f>
        <v>0</v>
      </c>
      <c r="AC6" s="17">
        <f t="shared" si="6"/>
        <v>0</v>
      </c>
      <c r="AD6" s="134" t="s">
        <v>32</v>
      </c>
      <c r="AE6" s="15">
        <f>IF(B6&gt;150,IF(AD6="Yes",HLOOKUP(C6,'Sewer Cost Data'!$L$4:$S$5,2,FALSE)*'Sewer Project Data'!B6/150,0),IF(AD6="Yes",HLOOKUP(C6,'Sewer Cost Data'!$L$4:$S$5,2,FALSE),0))</f>
        <v>13458</v>
      </c>
      <c r="AF6" s="22">
        <v>0</v>
      </c>
      <c r="AG6" s="15">
        <f>IF(AF6&gt;0,IF(AF6&lt;10,'Sewer Cost Data'!$T$5,('Sewer Cost Data'!$T$5+('Sewer Cost Data'!$U$5+((AF6-10))*'Sewer Cost Data'!$U$5))),0)</f>
        <v>0</v>
      </c>
      <c r="AH6" s="22" t="s">
        <v>33</v>
      </c>
      <c r="AI6" s="15" t="b">
        <f>IF(AH6="Yes",B6*'Sewer Cost Data'!$V$5)</f>
        <v>0</v>
      </c>
      <c r="AJ6" s="18">
        <f t="shared" si="7"/>
        <v>13458</v>
      </c>
      <c r="AK6" s="19" t="str">
        <f t="shared" si="2"/>
        <v/>
      </c>
      <c r="AL6" s="18">
        <f t="shared" si="8"/>
        <v>13458</v>
      </c>
      <c r="AM6" s="19" t="str">
        <f t="shared" si="3"/>
        <v/>
      </c>
    </row>
    <row r="7" spans="1:39" x14ac:dyDescent="0.25">
      <c r="A7" s="22"/>
      <c r="B7" s="23">
        <v>0</v>
      </c>
      <c r="C7" s="23" t="s">
        <v>28</v>
      </c>
      <c r="D7" s="23" t="s">
        <v>29</v>
      </c>
      <c r="E7" s="23" t="s">
        <v>30</v>
      </c>
      <c r="F7" s="14">
        <f>IF(E7=Data!$A$38,VLOOKUP('Sewer Project Data'!C7,'Sewer Cost Data'!$A$5:$G$11,7,FALSE),IF(E7=Data!$A$37,IF(D7="0-16",VLOOKUP(C7,'Sewer Cost Data'!$A$5:$G$11,5,FALSE),VLOOKUP(C7,'Sewer Cost Data'!$A$5:$G$11,6,FALSE)),VLOOKUP('Sewer Project Data'!C7,'Sewer Cost Data'!$A$5:$E$11,5,FALSE)))</f>
        <v>188</v>
      </c>
      <c r="G7" s="95">
        <f>IF(E7=Data!$A$37,1,IF(E7=Data!$A$38,1,IF('Sewer Project Data'!E7=Data!$A$39,VLOOKUP(C7,'Sewer Cost Data'!$A$16:$E$22,5,FALSE),IF(E7=Data!$A$40,VLOOKUP('Sewer Project Data'!C7,'Sewer Cost Data'!$A$16:$F$22,6,FALSE),VLOOKUP('Sewer Project Data'!C7,'Sewer Cost Data'!$A$16:$G$22,7,FALSE)))))</f>
        <v>1</v>
      </c>
      <c r="H7" s="15">
        <f t="shared" si="0"/>
        <v>0</v>
      </c>
      <c r="I7" s="35" t="s">
        <v>31</v>
      </c>
      <c r="J7" s="23" t="s">
        <v>29</v>
      </c>
      <c r="K7" s="23" t="s">
        <v>30</v>
      </c>
      <c r="L7" s="14">
        <f>IF(K7=Data!$A$38,VLOOKUP('Sewer Project Data'!I7,'Sewer Cost Data'!$A$5:$G$12,7,FALSE),IF(K7=Data!$A$37,IF(J7="0-16",VLOOKUP(I7,'Sewer Cost Data'!$A$5:$G$12,5,FALSE),VLOOKUP(I7,'Sewer Cost Data'!$A$5:$G$12,6,FALSE)),VLOOKUP('Sewer Project Data'!I7,'Sewer Cost Data'!$A$5:$E$12,5,FALSE)))</f>
        <v>200</v>
      </c>
      <c r="M7" s="27">
        <f>IF(K7=Data!$A$37,1,IF(K7=Data!$A$38,1,IF('Sewer Project Data'!K7=Data!$A$39,VLOOKUP(I7,'Sewer Cost Data'!$A$16:$E$22,5,FALSE),IF(K7=Data!$A$40,VLOOKUP('Sewer Project Data'!I7,'Sewer Cost Data'!$A$16:$F$22,6,FALSE),VLOOKUP('Sewer Project Data'!I7,'Sewer Cost Data'!$A$16:$G$22,7,FALSE)))))</f>
        <v>1</v>
      </c>
      <c r="N7" s="15">
        <f t="shared" si="1"/>
        <v>0</v>
      </c>
      <c r="O7" s="22">
        <v>0</v>
      </c>
      <c r="P7" s="23" t="s">
        <v>29</v>
      </c>
      <c r="Q7" s="14">
        <f>IFERROR(HLOOKUP(P7,'Sewer Cost Data'!$I$4:$J$7,2,FALSE),"")</f>
        <v>5082</v>
      </c>
      <c r="R7" s="15">
        <f t="shared" si="4"/>
        <v>0</v>
      </c>
      <c r="S7" s="22">
        <v>0</v>
      </c>
      <c r="T7" s="23" t="s">
        <v>29</v>
      </c>
      <c r="U7" s="14">
        <f>IFERROR(HLOOKUP(T7,'Sewer Cost Data'!$I$4:$J$7,3,FALSE),"")</f>
        <v>11098</v>
      </c>
      <c r="V7" s="15">
        <f t="shared" si="9"/>
        <v>0</v>
      </c>
      <c r="W7" s="22">
        <v>0</v>
      </c>
      <c r="X7" s="23" t="s">
        <v>29</v>
      </c>
      <c r="Y7" s="14">
        <f>IFERROR(HLOOKUP(X7,'Sewer Cost Data'!$I$4:$J$7,4,FALSE),"")</f>
        <v>17589</v>
      </c>
      <c r="Z7" s="15">
        <f t="shared" si="5"/>
        <v>0</v>
      </c>
      <c r="AA7" s="22">
        <v>0</v>
      </c>
      <c r="AB7" s="16">
        <f>IFERROR(IF(AA7&gt;0,'Sewer Cost Data'!$K$5,0),"")</f>
        <v>0</v>
      </c>
      <c r="AC7" s="17">
        <f t="shared" si="6"/>
        <v>0</v>
      </c>
      <c r="AD7" s="134" t="s">
        <v>32</v>
      </c>
      <c r="AE7" s="15">
        <f>IF(B7&gt;150,IF(AD7="Yes",HLOOKUP(C7,'Sewer Cost Data'!$L$4:$S$5,2,FALSE)*'Sewer Project Data'!B7/150,0),IF(AD7="Yes",HLOOKUP(C7,'Sewer Cost Data'!$L$4:$S$5,2,FALSE),0))</f>
        <v>13458</v>
      </c>
      <c r="AF7" s="22">
        <v>0</v>
      </c>
      <c r="AG7" s="15">
        <f>IF(AF7&gt;0,IF(AF7&lt;10,'Sewer Cost Data'!$T$5,('Sewer Cost Data'!$T$5+('Sewer Cost Data'!$U$5+((AF7-10))*'Sewer Cost Data'!$U$5))),0)</f>
        <v>0</v>
      </c>
      <c r="AH7" s="22" t="s">
        <v>33</v>
      </c>
      <c r="AI7" s="15" t="b">
        <f>IF(AH7="Yes",B7*'Sewer Cost Data'!$V$5)</f>
        <v>0</v>
      </c>
      <c r="AJ7" s="18">
        <f t="shared" si="7"/>
        <v>13458</v>
      </c>
      <c r="AK7" s="19" t="str">
        <f t="shared" si="2"/>
        <v/>
      </c>
      <c r="AL7" s="18">
        <f t="shared" si="8"/>
        <v>13458</v>
      </c>
      <c r="AM7" s="19" t="str">
        <f t="shared" si="3"/>
        <v/>
      </c>
    </row>
    <row r="8" spans="1:39" x14ac:dyDescent="0.25">
      <c r="A8" s="22"/>
      <c r="B8" s="23">
        <v>0</v>
      </c>
      <c r="C8" s="23" t="s">
        <v>28</v>
      </c>
      <c r="D8" s="23" t="s">
        <v>29</v>
      </c>
      <c r="E8" s="23" t="s">
        <v>30</v>
      </c>
      <c r="F8" s="14">
        <f>IF(E8=Data!$A$38,VLOOKUP('Sewer Project Data'!C8,'Sewer Cost Data'!$A$5:$G$11,7,FALSE),IF(E8=Data!$A$37,IF(D8="0-16",VLOOKUP(C8,'Sewer Cost Data'!$A$5:$G$11,5,FALSE),VLOOKUP(C8,'Sewer Cost Data'!$A$5:$G$11,6,FALSE)),VLOOKUP('Sewer Project Data'!C8,'Sewer Cost Data'!$A$5:$E$11,5,FALSE)))</f>
        <v>188</v>
      </c>
      <c r="G8" s="95">
        <f>IF(E8=Data!$A$37,1,IF(E8=Data!$A$38,1,IF('Sewer Project Data'!E8=Data!$A$39,VLOOKUP(C8,'Sewer Cost Data'!$A$16:$E$22,5,FALSE),IF(E8=Data!$A$40,VLOOKUP('Sewer Project Data'!C8,'Sewer Cost Data'!$A$16:$F$22,6,FALSE),VLOOKUP('Sewer Project Data'!C8,'Sewer Cost Data'!$A$16:$G$22,7,FALSE)))))</f>
        <v>1</v>
      </c>
      <c r="H8" s="15">
        <f t="shared" si="0"/>
        <v>0</v>
      </c>
      <c r="I8" s="35" t="s">
        <v>34</v>
      </c>
      <c r="J8" s="23" t="s">
        <v>29</v>
      </c>
      <c r="K8" s="23" t="s">
        <v>30</v>
      </c>
      <c r="L8" s="14">
        <f>IF(K8=Data!$A$38,VLOOKUP('Sewer Project Data'!I8,'Sewer Cost Data'!$A$5:$G$12,7,FALSE),IF(K8=Data!$A$37,IF(J8="0-16",VLOOKUP(I8,'Sewer Cost Data'!$A$5:$G$12,5,FALSE),VLOOKUP(I8,'Sewer Cost Data'!$A$5:$G$12,6,FALSE)),VLOOKUP('Sewer Project Data'!I8,'Sewer Cost Data'!$A$5:$E$12,5,FALSE)))</f>
        <v>208</v>
      </c>
      <c r="M8" s="27">
        <f>IF(K8=Data!$A$37,1,IF(K8=Data!$A$38,1,IF('Sewer Project Data'!K8=Data!$A$39,VLOOKUP(I8,'Sewer Cost Data'!$A$16:$E$22,5,FALSE),IF(K8=Data!$A$40,VLOOKUP('Sewer Project Data'!I8,'Sewer Cost Data'!$A$16:$F$22,6,FALSE),VLOOKUP('Sewer Project Data'!I8,'Sewer Cost Data'!$A$16:$G$22,7,FALSE)))))</f>
        <v>1</v>
      </c>
      <c r="N8" s="15">
        <f t="shared" si="1"/>
        <v>0</v>
      </c>
      <c r="O8" s="22">
        <v>0</v>
      </c>
      <c r="P8" s="23" t="s">
        <v>29</v>
      </c>
      <c r="Q8" s="14">
        <f>IFERROR(HLOOKUP(P8,'Sewer Cost Data'!$I$4:$J$7,2,FALSE),"")</f>
        <v>5082</v>
      </c>
      <c r="R8" s="15">
        <f t="shared" si="4"/>
        <v>0</v>
      </c>
      <c r="S8" s="22">
        <v>0</v>
      </c>
      <c r="T8" s="23" t="s">
        <v>29</v>
      </c>
      <c r="U8" s="14">
        <f>IFERROR(HLOOKUP(T8,'Sewer Cost Data'!$I$4:$J$7,3,FALSE),"")</f>
        <v>11098</v>
      </c>
      <c r="V8" s="15">
        <f t="shared" si="9"/>
        <v>0</v>
      </c>
      <c r="W8" s="22">
        <v>0</v>
      </c>
      <c r="X8" s="23" t="s">
        <v>29</v>
      </c>
      <c r="Y8" s="14">
        <f>IFERROR(HLOOKUP(X8,'Sewer Cost Data'!$I$4:$J$7,4,FALSE),"")</f>
        <v>17589</v>
      </c>
      <c r="Z8" s="15">
        <f t="shared" si="5"/>
        <v>0</v>
      </c>
      <c r="AA8" s="22">
        <v>0</v>
      </c>
      <c r="AB8" s="16">
        <f>IFERROR(IF(AA8&gt;0,'Sewer Cost Data'!$K$5,0),"")</f>
        <v>0</v>
      </c>
      <c r="AC8" s="17">
        <f t="shared" si="6"/>
        <v>0</v>
      </c>
      <c r="AD8" s="134" t="s">
        <v>32</v>
      </c>
      <c r="AE8" s="15">
        <f>IF(B8&gt;150,IF(AD8="Yes",HLOOKUP(C8,'Sewer Cost Data'!$L$4:$S$5,2,FALSE)*'Sewer Project Data'!B8/150,0),IF(AD8="Yes",HLOOKUP(C8,'Sewer Cost Data'!$L$4:$S$5,2,FALSE),0))</f>
        <v>13458</v>
      </c>
      <c r="AF8" s="22">
        <v>0</v>
      </c>
      <c r="AG8" s="15">
        <f>IF(AF8&gt;0,IF(AF8&lt;10,'Sewer Cost Data'!$T$5,('Sewer Cost Data'!$T$5+('Sewer Cost Data'!$U$5+((AF8-10))*'Sewer Cost Data'!$U$5))),0)</f>
        <v>0</v>
      </c>
      <c r="AH8" s="22" t="s">
        <v>33</v>
      </c>
      <c r="AI8" s="15" t="b">
        <f>IF(AH8="Yes",B8*'Sewer Cost Data'!$V$5)</f>
        <v>0</v>
      </c>
      <c r="AJ8" s="18">
        <f t="shared" si="7"/>
        <v>13458</v>
      </c>
      <c r="AK8" s="19" t="str">
        <f t="shared" si="2"/>
        <v/>
      </c>
      <c r="AL8" s="18">
        <f t="shared" si="8"/>
        <v>13458</v>
      </c>
      <c r="AM8" s="19" t="str">
        <f t="shared" si="3"/>
        <v/>
      </c>
    </row>
    <row r="9" spans="1:39" x14ac:dyDescent="0.25">
      <c r="A9" s="22"/>
      <c r="B9" s="23">
        <v>0</v>
      </c>
      <c r="C9" s="156" t="s">
        <v>28</v>
      </c>
      <c r="D9" s="23" t="s">
        <v>29</v>
      </c>
      <c r="E9" s="23" t="s">
        <v>30</v>
      </c>
      <c r="F9" s="14">
        <f>IF(E9=Data!$A$38,VLOOKUP('Sewer Project Data'!C9,'Sewer Cost Data'!$A$5:$G$11,7,FALSE),IF(E9=Data!$A$37,IF(D9="0-16",VLOOKUP(C9,'Sewer Cost Data'!$A$5:$G$11,5,FALSE),VLOOKUP(C9,'Sewer Cost Data'!$A$5:$G$11,6,FALSE)),VLOOKUP('Sewer Project Data'!C9,'Sewer Cost Data'!$A$5:$E$11,5,FALSE)))</f>
        <v>188</v>
      </c>
      <c r="G9" s="95">
        <f>IF(E9=Data!$A$37,1,IF(E9=Data!$A$38,1,IF('Sewer Project Data'!E9=Data!$A$39,VLOOKUP(C9,'Sewer Cost Data'!$A$16:$E$22,5,FALSE),IF(E9=Data!$A$40,VLOOKUP('Sewer Project Data'!C9,'Sewer Cost Data'!$A$16:$F$22,6,FALSE),VLOOKUP('Sewer Project Data'!C9,'Sewer Cost Data'!$A$16:$G$22,7,FALSE)))))</f>
        <v>1</v>
      </c>
      <c r="H9" s="15">
        <f t="shared" si="0"/>
        <v>0</v>
      </c>
      <c r="I9" s="35" t="s">
        <v>34</v>
      </c>
      <c r="J9" s="23" t="s">
        <v>29</v>
      </c>
      <c r="K9" s="23" t="s">
        <v>30</v>
      </c>
      <c r="L9" s="14">
        <f>IF(K9=Data!$A$38,VLOOKUP('Sewer Project Data'!I9,'Sewer Cost Data'!$A$5:$G$12,7,FALSE),IF(K9=Data!$A$37,IF(J9="0-16",VLOOKUP(I9,'Sewer Cost Data'!$A$5:$G$12,5,FALSE),VLOOKUP(I9,'Sewer Cost Data'!$A$5:$G$12,6,FALSE)),VLOOKUP('Sewer Project Data'!I9,'Sewer Cost Data'!$A$5:$E$12,5,FALSE)))</f>
        <v>208</v>
      </c>
      <c r="M9" s="27">
        <f>IF(K9=Data!$A$37,1,IF(K9=Data!$A$38,1,IF('Sewer Project Data'!K9=Data!$A$39,VLOOKUP(I9,'Sewer Cost Data'!$A$16:$E$22,5,FALSE),IF(K9=Data!$A$40,VLOOKUP('Sewer Project Data'!I9,'Sewer Cost Data'!$A$16:$F$22,6,FALSE),VLOOKUP('Sewer Project Data'!I9,'Sewer Cost Data'!$A$16:$G$22,7,FALSE)))))</f>
        <v>1</v>
      </c>
      <c r="N9" s="15">
        <f t="shared" si="1"/>
        <v>0</v>
      </c>
      <c r="O9" s="22">
        <v>0</v>
      </c>
      <c r="P9" s="23" t="s">
        <v>29</v>
      </c>
      <c r="Q9" s="14">
        <f>IFERROR(HLOOKUP(P9,'Sewer Cost Data'!$I$4:$J$7,2,FALSE),"")</f>
        <v>5082</v>
      </c>
      <c r="R9" s="15">
        <f t="shared" si="4"/>
        <v>0</v>
      </c>
      <c r="S9" s="22">
        <v>0</v>
      </c>
      <c r="T9" s="23" t="s">
        <v>29</v>
      </c>
      <c r="U9" s="14">
        <f>IFERROR(HLOOKUP(T9,'Sewer Cost Data'!$I$4:$J$7,3,FALSE),"")</f>
        <v>11098</v>
      </c>
      <c r="V9" s="15">
        <f t="shared" si="9"/>
        <v>0</v>
      </c>
      <c r="W9" s="22">
        <v>0</v>
      </c>
      <c r="X9" s="23" t="s">
        <v>29</v>
      </c>
      <c r="Y9" s="14">
        <f>IFERROR(HLOOKUP(X9,'Sewer Cost Data'!$I$4:$J$7,4,FALSE),"")</f>
        <v>17589</v>
      </c>
      <c r="Z9" s="15">
        <f t="shared" si="5"/>
        <v>0</v>
      </c>
      <c r="AA9" s="22">
        <v>0</v>
      </c>
      <c r="AB9" s="16">
        <f>IFERROR(IF(AA9&gt;0,'Sewer Cost Data'!$K$5,0),"")</f>
        <v>0</v>
      </c>
      <c r="AC9" s="17">
        <f t="shared" si="6"/>
        <v>0</v>
      </c>
      <c r="AD9" s="134" t="s">
        <v>32</v>
      </c>
      <c r="AE9" s="15">
        <f>IF(B9&gt;150,IF(AD9="Yes",HLOOKUP(C9,'Sewer Cost Data'!$L$4:$S$5,2,FALSE)*'Sewer Project Data'!B9/150,0),IF(AD9="Yes",HLOOKUP(C9,'Sewer Cost Data'!$L$4:$S$5,2,FALSE),0))</f>
        <v>13458</v>
      </c>
      <c r="AF9" s="22">
        <v>0</v>
      </c>
      <c r="AG9" s="15">
        <f>IF(AF9&gt;0,IF(AF9&lt;10,'Sewer Cost Data'!$T$5,('Sewer Cost Data'!$T$5+('Sewer Cost Data'!$U$5+((AF9-10))*'Sewer Cost Data'!$U$5))),0)</f>
        <v>0</v>
      </c>
      <c r="AH9" s="22" t="s">
        <v>33</v>
      </c>
      <c r="AI9" s="15" t="b">
        <f>IF(AH9="Yes",B9*'Sewer Cost Data'!$V$5)</f>
        <v>0</v>
      </c>
      <c r="AJ9" s="18">
        <f t="shared" si="7"/>
        <v>13458</v>
      </c>
      <c r="AK9" s="19" t="str">
        <f t="shared" si="2"/>
        <v/>
      </c>
      <c r="AL9" s="18">
        <f t="shared" si="8"/>
        <v>13458</v>
      </c>
      <c r="AM9" s="19" t="str">
        <f t="shared" si="3"/>
        <v/>
      </c>
    </row>
    <row r="10" spans="1:39" x14ac:dyDescent="0.25">
      <c r="A10" s="22"/>
      <c r="B10" s="23">
        <v>0</v>
      </c>
      <c r="C10" s="156" t="s">
        <v>28</v>
      </c>
      <c r="D10" s="23" t="s">
        <v>29</v>
      </c>
      <c r="E10" s="23" t="s">
        <v>30</v>
      </c>
      <c r="F10" s="14">
        <f>IF(E10=Data!$A$38,VLOOKUP('Sewer Project Data'!C10,'Sewer Cost Data'!$A$5:$G$11,7,FALSE),IF(E10=Data!$A$37,IF(D10="0-16",VLOOKUP(C10,'Sewer Cost Data'!$A$5:$G$11,5,FALSE),VLOOKUP(C10,'Sewer Cost Data'!$A$5:$G$11,6,FALSE)),VLOOKUP('Sewer Project Data'!C10,'Sewer Cost Data'!$A$5:$E$11,5,FALSE)))</f>
        <v>188</v>
      </c>
      <c r="G10" s="95">
        <f>IF(E10=Data!$A$37,1,IF(E10=Data!$A$38,1,IF('Sewer Project Data'!E10=Data!$A$39,VLOOKUP(C10,'Sewer Cost Data'!$A$16:$E$22,5,FALSE),IF(E10=Data!$A$40,VLOOKUP('Sewer Project Data'!C10,'Sewer Cost Data'!$A$16:$F$22,6,FALSE),VLOOKUP('Sewer Project Data'!C10,'Sewer Cost Data'!$A$16:$G$22,7,FALSE)))))</f>
        <v>1</v>
      </c>
      <c r="H10" s="15">
        <f t="shared" si="0"/>
        <v>0</v>
      </c>
      <c r="I10" s="35" t="s">
        <v>34</v>
      </c>
      <c r="J10" s="23" t="s">
        <v>29</v>
      </c>
      <c r="K10" s="23" t="s">
        <v>30</v>
      </c>
      <c r="L10" s="14">
        <f>IF(K10=Data!$A$38,VLOOKUP('Sewer Project Data'!I10,'Sewer Cost Data'!$A$5:$G$12,7,FALSE),IF(K10=Data!$A$37,IF(J10="0-16",VLOOKUP(I10,'Sewer Cost Data'!$A$5:$G$12,5,FALSE),VLOOKUP(I10,'Sewer Cost Data'!$A$5:$G$12,6,FALSE)),VLOOKUP('Sewer Project Data'!I10,'Sewer Cost Data'!$A$5:$E$12,5,FALSE)))</f>
        <v>208</v>
      </c>
      <c r="M10" s="27">
        <f>IF(K10=Data!$A$37,1,IF(K10=Data!$A$38,1,IF('Sewer Project Data'!K10=Data!$A$39,VLOOKUP(I10,'Sewer Cost Data'!$A$16:$E$22,5,FALSE),IF(K10=Data!$A$40,VLOOKUP('Sewer Project Data'!I10,'Sewer Cost Data'!$A$16:$F$22,6,FALSE),VLOOKUP('Sewer Project Data'!I10,'Sewer Cost Data'!$A$16:$G$22,7,FALSE)))))</f>
        <v>1</v>
      </c>
      <c r="N10" s="15">
        <f t="shared" si="1"/>
        <v>0</v>
      </c>
      <c r="O10" s="22">
        <v>0</v>
      </c>
      <c r="P10" s="23" t="s">
        <v>29</v>
      </c>
      <c r="Q10" s="14">
        <f>IFERROR(HLOOKUP(P10,'Sewer Cost Data'!$I$4:$J$7,2,FALSE),"")</f>
        <v>5082</v>
      </c>
      <c r="R10" s="15">
        <f t="shared" si="4"/>
        <v>0</v>
      </c>
      <c r="S10" s="22">
        <v>0</v>
      </c>
      <c r="T10" s="23" t="s">
        <v>29</v>
      </c>
      <c r="U10" s="14">
        <f>IFERROR(HLOOKUP(T10,'Sewer Cost Data'!$I$4:$J$7,3,FALSE),"")</f>
        <v>11098</v>
      </c>
      <c r="V10" s="15">
        <f t="shared" si="9"/>
        <v>0</v>
      </c>
      <c r="W10" s="22">
        <v>0</v>
      </c>
      <c r="X10" s="23" t="s">
        <v>29</v>
      </c>
      <c r="Y10" s="14">
        <f>IFERROR(HLOOKUP(X10,'Sewer Cost Data'!$I$4:$J$7,4,FALSE),"")</f>
        <v>17589</v>
      </c>
      <c r="Z10" s="15">
        <f t="shared" si="5"/>
        <v>0</v>
      </c>
      <c r="AA10" s="22">
        <v>0</v>
      </c>
      <c r="AB10" s="16">
        <f>IFERROR(IF(AA10&gt;0,'Sewer Cost Data'!$K$5,0),"")</f>
        <v>0</v>
      </c>
      <c r="AC10" s="17">
        <f t="shared" si="6"/>
        <v>0</v>
      </c>
      <c r="AD10" s="134" t="s">
        <v>32</v>
      </c>
      <c r="AE10" s="15">
        <f>IF(B10&gt;150,IF(AD10="Yes",HLOOKUP(C10,'Sewer Cost Data'!$L$4:$S$5,2,FALSE)*'Sewer Project Data'!B10/150,0),IF(AD10="Yes",HLOOKUP(C10,'Sewer Cost Data'!$L$4:$S$5,2,FALSE),0))</f>
        <v>13458</v>
      </c>
      <c r="AF10" s="22">
        <v>0</v>
      </c>
      <c r="AG10" s="15">
        <f>IF(AF10&gt;0,IF(AF10&lt;10,'Sewer Cost Data'!$T$5,('Sewer Cost Data'!$T$5+('Sewer Cost Data'!$U$5+((AF10-10))*'Sewer Cost Data'!$U$5))),0)</f>
        <v>0</v>
      </c>
      <c r="AH10" s="22" t="s">
        <v>33</v>
      </c>
      <c r="AI10" s="15" t="b">
        <f>IF(AH10="Yes",B10*'Sewer Cost Data'!$V$5)</f>
        <v>0</v>
      </c>
      <c r="AJ10" s="18">
        <f t="shared" si="7"/>
        <v>13458</v>
      </c>
      <c r="AK10" s="19" t="str">
        <f t="shared" si="2"/>
        <v/>
      </c>
      <c r="AL10" s="18">
        <f t="shared" si="8"/>
        <v>13458</v>
      </c>
      <c r="AM10" s="19" t="str">
        <f t="shared" si="3"/>
        <v/>
      </c>
    </row>
    <row r="11" spans="1:39" x14ac:dyDescent="0.25">
      <c r="A11" s="22"/>
      <c r="B11" s="23">
        <v>0</v>
      </c>
      <c r="C11" s="156" t="s">
        <v>28</v>
      </c>
      <c r="D11" s="23" t="s">
        <v>29</v>
      </c>
      <c r="E11" s="23" t="s">
        <v>30</v>
      </c>
      <c r="F11" s="14">
        <f>IF(E11=Data!$A$38,VLOOKUP('Sewer Project Data'!C11,'Sewer Cost Data'!$A$5:$G$11,7,FALSE),IF(E11=Data!$A$37,IF(D11="0-16",VLOOKUP(C11,'Sewer Cost Data'!$A$5:$G$11,5,FALSE),VLOOKUP(C11,'Sewer Cost Data'!$A$5:$G$11,6,FALSE)),VLOOKUP('Sewer Project Data'!C11,'Sewer Cost Data'!$A$5:$E$11,5,FALSE)))</f>
        <v>188</v>
      </c>
      <c r="G11" s="95">
        <f>IF(E11=Data!$A$37,1,IF(E11=Data!$A$38,1,IF('Sewer Project Data'!E11=Data!$A$39,VLOOKUP(C11,'Sewer Cost Data'!$A$16:$E$22,5,FALSE),IF(E11=Data!$A$40,VLOOKUP('Sewer Project Data'!C11,'Sewer Cost Data'!$A$16:$F$22,6,FALSE),VLOOKUP('Sewer Project Data'!C11,'Sewer Cost Data'!$A$16:$G$22,7,FALSE)))))</f>
        <v>1</v>
      </c>
      <c r="H11" s="15">
        <f t="shared" si="0"/>
        <v>0</v>
      </c>
      <c r="I11" s="35" t="s">
        <v>34</v>
      </c>
      <c r="J11" s="23" t="s">
        <v>29</v>
      </c>
      <c r="K11" s="23" t="s">
        <v>30</v>
      </c>
      <c r="L11" s="14">
        <f>IF(K11=Data!$A$38,VLOOKUP('Sewer Project Data'!I11,'Sewer Cost Data'!$A$5:$G$12,7,FALSE),IF(K11=Data!$A$37,IF(J11="0-16",VLOOKUP(I11,'Sewer Cost Data'!$A$5:$G$12,5,FALSE),VLOOKUP(I11,'Sewer Cost Data'!$A$5:$G$12,6,FALSE)),VLOOKUP('Sewer Project Data'!I11,'Sewer Cost Data'!$A$5:$E$12,5,FALSE)))</f>
        <v>208</v>
      </c>
      <c r="M11" s="27">
        <f>IF(K11=Data!$A$37,1,IF(K11=Data!$A$38,1,IF('Sewer Project Data'!K11=Data!$A$39,VLOOKUP(I11,'Sewer Cost Data'!$A$16:$E$22,5,FALSE),IF(K11=Data!$A$40,VLOOKUP('Sewer Project Data'!I11,'Sewer Cost Data'!$A$16:$F$22,6,FALSE),VLOOKUP('Sewer Project Data'!I11,'Sewer Cost Data'!$A$16:$G$22,7,FALSE)))))</f>
        <v>1</v>
      </c>
      <c r="N11" s="15">
        <f t="shared" si="1"/>
        <v>0</v>
      </c>
      <c r="O11" s="22">
        <v>0</v>
      </c>
      <c r="P11" s="23" t="s">
        <v>29</v>
      </c>
      <c r="Q11" s="14">
        <f>IFERROR(HLOOKUP(P11,'Sewer Cost Data'!$I$4:$J$7,2,FALSE),"")</f>
        <v>5082</v>
      </c>
      <c r="R11" s="15">
        <f t="shared" si="4"/>
        <v>0</v>
      </c>
      <c r="S11" s="22">
        <v>0</v>
      </c>
      <c r="T11" s="23" t="s">
        <v>29</v>
      </c>
      <c r="U11" s="14">
        <f>IFERROR(HLOOKUP(T11,'Sewer Cost Data'!$I$4:$J$7,3,FALSE),"")</f>
        <v>11098</v>
      </c>
      <c r="V11" s="15">
        <f t="shared" si="9"/>
        <v>0</v>
      </c>
      <c r="W11" s="22">
        <v>0</v>
      </c>
      <c r="X11" s="23" t="s">
        <v>29</v>
      </c>
      <c r="Y11" s="14">
        <f>IFERROR(HLOOKUP(X11,'Sewer Cost Data'!$I$4:$J$7,4,FALSE),"")</f>
        <v>17589</v>
      </c>
      <c r="Z11" s="15">
        <f t="shared" si="5"/>
        <v>0</v>
      </c>
      <c r="AA11" s="22">
        <v>0</v>
      </c>
      <c r="AB11" s="16">
        <f>IFERROR(IF(AA11&gt;0,'Sewer Cost Data'!$K$5,0),"")</f>
        <v>0</v>
      </c>
      <c r="AC11" s="17">
        <f t="shared" si="6"/>
        <v>0</v>
      </c>
      <c r="AD11" s="134" t="s">
        <v>32</v>
      </c>
      <c r="AE11" s="15">
        <f>IF(B11&gt;150,IF(AD11="Yes",HLOOKUP(C11,'Sewer Cost Data'!$L$4:$S$5,2,FALSE)*'Sewer Project Data'!B11/150,0),IF(AD11="Yes",HLOOKUP(C11,'Sewer Cost Data'!$L$4:$S$5,2,FALSE),0))</f>
        <v>13458</v>
      </c>
      <c r="AF11" s="22">
        <v>0</v>
      </c>
      <c r="AG11" s="15">
        <f>IF(AF11&gt;0,IF(AF11&lt;10,'Sewer Cost Data'!$T$5,('Sewer Cost Data'!$T$5+('Sewer Cost Data'!$U$5+((AF11-10))*'Sewer Cost Data'!$U$5))),0)</f>
        <v>0</v>
      </c>
      <c r="AH11" s="22" t="s">
        <v>33</v>
      </c>
      <c r="AI11" s="15" t="b">
        <f>IF(AH11="Yes",B11*'Sewer Cost Data'!$V$5)</f>
        <v>0</v>
      </c>
      <c r="AJ11" s="18">
        <f t="shared" si="7"/>
        <v>13458</v>
      </c>
      <c r="AK11" s="19" t="str">
        <f t="shared" si="2"/>
        <v/>
      </c>
      <c r="AL11" s="18">
        <f t="shared" si="8"/>
        <v>13458</v>
      </c>
      <c r="AM11" s="19" t="str">
        <f t="shared" si="3"/>
        <v/>
      </c>
    </row>
    <row r="12" spans="1:39" x14ac:dyDescent="0.25">
      <c r="A12" s="22"/>
      <c r="B12" s="23">
        <v>0</v>
      </c>
      <c r="C12" s="156" t="s">
        <v>28</v>
      </c>
      <c r="D12" s="23" t="s">
        <v>29</v>
      </c>
      <c r="E12" s="23" t="s">
        <v>30</v>
      </c>
      <c r="F12" s="14">
        <f>IF(E12=Data!$A$38,VLOOKUP('Sewer Project Data'!C12,'Sewer Cost Data'!$A$5:$G$11,7,FALSE),IF(E12=Data!$A$37,IF(D12="0-16",VLOOKUP(C12,'Sewer Cost Data'!$A$5:$G$11,5,FALSE),VLOOKUP(C12,'Sewer Cost Data'!$A$5:$G$11,6,FALSE)),VLOOKUP('Sewer Project Data'!C12,'Sewer Cost Data'!$A$5:$E$11,5,FALSE)))</f>
        <v>188</v>
      </c>
      <c r="G12" s="95">
        <f>IF(E12=Data!$A$37,1,IF(E12=Data!$A$38,1,IF('Sewer Project Data'!E12=Data!$A$39,VLOOKUP(C12,'Sewer Cost Data'!$A$16:$E$22,5,FALSE),IF(E12=Data!$A$40,VLOOKUP('Sewer Project Data'!C12,'Sewer Cost Data'!$A$16:$F$22,6,FALSE),VLOOKUP('Sewer Project Data'!C12,'Sewer Cost Data'!$A$16:$G$22,7,FALSE)))))</f>
        <v>1</v>
      </c>
      <c r="H12" s="15">
        <f t="shared" si="0"/>
        <v>0</v>
      </c>
      <c r="I12" s="35" t="s">
        <v>34</v>
      </c>
      <c r="J12" s="23" t="s">
        <v>29</v>
      </c>
      <c r="K12" s="23" t="s">
        <v>30</v>
      </c>
      <c r="L12" s="14">
        <f>IF(K12=Data!$A$38,VLOOKUP('Sewer Project Data'!I12,'Sewer Cost Data'!$A$5:$G$12,7,FALSE),IF(K12=Data!$A$37,IF(J12="0-16",VLOOKUP(I12,'Sewer Cost Data'!$A$5:$G$12,5,FALSE),VLOOKUP(I12,'Sewer Cost Data'!$A$5:$G$12,6,FALSE)),VLOOKUP('Sewer Project Data'!I12,'Sewer Cost Data'!$A$5:$E$12,5,FALSE)))</f>
        <v>208</v>
      </c>
      <c r="M12" s="27">
        <f>IF(K12=Data!$A$37,1,IF(K12=Data!$A$38,1,IF('Sewer Project Data'!K12=Data!$A$39,VLOOKUP(I12,'Sewer Cost Data'!$A$16:$E$22,5,FALSE),IF(K12=Data!$A$40,VLOOKUP('Sewer Project Data'!I12,'Sewer Cost Data'!$A$16:$F$22,6,FALSE),VLOOKUP('Sewer Project Data'!I12,'Sewer Cost Data'!$A$16:$G$22,7,FALSE)))))</f>
        <v>1</v>
      </c>
      <c r="N12" s="15">
        <f t="shared" si="1"/>
        <v>0</v>
      </c>
      <c r="O12" s="22">
        <v>0</v>
      </c>
      <c r="P12" s="23" t="s">
        <v>29</v>
      </c>
      <c r="Q12" s="14">
        <f>IFERROR(HLOOKUP(P12,'Sewer Cost Data'!$I$4:$J$7,2,FALSE),"")</f>
        <v>5082</v>
      </c>
      <c r="R12" s="15">
        <f t="shared" si="4"/>
        <v>0</v>
      </c>
      <c r="S12" s="22">
        <v>0</v>
      </c>
      <c r="T12" s="23" t="s">
        <v>29</v>
      </c>
      <c r="U12" s="14">
        <f>IFERROR(HLOOKUP(T12,'Sewer Cost Data'!$I$4:$J$7,3,FALSE),"")</f>
        <v>11098</v>
      </c>
      <c r="V12" s="15">
        <f t="shared" si="9"/>
        <v>0</v>
      </c>
      <c r="W12" s="22">
        <v>0</v>
      </c>
      <c r="X12" s="23" t="s">
        <v>29</v>
      </c>
      <c r="Y12" s="14">
        <f>IFERROR(HLOOKUP(X12,'Sewer Cost Data'!$I$4:$J$7,4,FALSE),"")</f>
        <v>17589</v>
      </c>
      <c r="Z12" s="15">
        <f t="shared" si="5"/>
        <v>0</v>
      </c>
      <c r="AA12" s="22">
        <v>0</v>
      </c>
      <c r="AB12" s="16">
        <f>IFERROR(IF(AA12&gt;0,'Sewer Cost Data'!$K$5,0),"")</f>
        <v>0</v>
      </c>
      <c r="AC12" s="17">
        <f t="shared" si="6"/>
        <v>0</v>
      </c>
      <c r="AD12" s="134" t="s">
        <v>32</v>
      </c>
      <c r="AE12" s="15">
        <f>IF(B12&gt;150,IF(AD12="Yes",HLOOKUP(C12,'Sewer Cost Data'!$L$4:$S$5,2,FALSE)*'Sewer Project Data'!B12/150,0),IF(AD12="Yes",HLOOKUP(C12,'Sewer Cost Data'!$L$4:$S$5,2,FALSE),0))</f>
        <v>13458</v>
      </c>
      <c r="AF12" s="22">
        <v>0</v>
      </c>
      <c r="AG12" s="15">
        <f>IF(AF12&gt;0,IF(AF12&lt;10,'Sewer Cost Data'!$T$5,('Sewer Cost Data'!$T$5+('Sewer Cost Data'!$U$5+((AF12-10))*'Sewer Cost Data'!$U$5))),0)</f>
        <v>0</v>
      </c>
      <c r="AH12" s="22" t="s">
        <v>33</v>
      </c>
      <c r="AI12" s="15" t="b">
        <f>IF(AH12="Yes",B12*'Sewer Cost Data'!$V$5)</f>
        <v>0</v>
      </c>
      <c r="AJ12" s="18">
        <f t="shared" si="7"/>
        <v>13458</v>
      </c>
      <c r="AK12" s="19" t="str">
        <f t="shared" si="2"/>
        <v/>
      </c>
      <c r="AL12" s="18">
        <f t="shared" si="8"/>
        <v>13458</v>
      </c>
      <c r="AM12" s="19" t="str">
        <f t="shared" si="3"/>
        <v/>
      </c>
    </row>
    <row r="13" spans="1:39" x14ac:dyDescent="0.25">
      <c r="A13" s="22"/>
      <c r="B13" s="23">
        <v>0</v>
      </c>
      <c r="C13" s="156" t="s">
        <v>28</v>
      </c>
      <c r="D13" s="23" t="s">
        <v>29</v>
      </c>
      <c r="E13" s="23" t="s">
        <v>30</v>
      </c>
      <c r="F13" s="14">
        <f>IF(E13=Data!$A$38,VLOOKUP('Sewer Project Data'!C13,'Sewer Cost Data'!$A$5:$G$11,7,FALSE),IF(E13=Data!$A$37,IF(D13="0-16",VLOOKUP(C13,'Sewer Cost Data'!$A$5:$G$11,5,FALSE),VLOOKUP(C13,'Sewer Cost Data'!$A$5:$G$11,6,FALSE)),VLOOKUP('Sewer Project Data'!C13,'Sewer Cost Data'!$A$5:$E$11,5,FALSE)))</f>
        <v>188</v>
      </c>
      <c r="G13" s="95">
        <f>IF(E13=Data!$A$37,1,IF(E13=Data!$A$38,1,IF('Sewer Project Data'!E13=Data!$A$39,VLOOKUP(C13,'Sewer Cost Data'!$A$16:$E$22,5,FALSE),IF(E13=Data!$A$40,VLOOKUP('Sewer Project Data'!C13,'Sewer Cost Data'!$A$16:$F$22,6,FALSE),VLOOKUP('Sewer Project Data'!C13,'Sewer Cost Data'!$A$16:$G$22,7,FALSE)))))</f>
        <v>1</v>
      </c>
      <c r="H13" s="15">
        <f t="shared" si="0"/>
        <v>0</v>
      </c>
      <c r="I13" s="35" t="s">
        <v>34</v>
      </c>
      <c r="J13" s="23" t="s">
        <v>29</v>
      </c>
      <c r="K13" s="23" t="s">
        <v>30</v>
      </c>
      <c r="L13" s="14">
        <f>IF(K13=Data!$A$38,VLOOKUP('Sewer Project Data'!I13,'Sewer Cost Data'!$A$5:$G$12,7,FALSE),IF(K13=Data!$A$37,IF(J13="0-16",VLOOKUP(I13,'Sewer Cost Data'!$A$5:$G$12,5,FALSE),VLOOKUP(I13,'Sewer Cost Data'!$A$5:$G$12,6,FALSE)),VLOOKUP('Sewer Project Data'!I13,'Sewer Cost Data'!$A$5:$E$12,5,FALSE)))</f>
        <v>208</v>
      </c>
      <c r="M13" s="27">
        <f>IF(K13=Data!$A$37,1,IF(K13=Data!$A$38,1,IF('Sewer Project Data'!K13=Data!$A$39,VLOOKUP(I13,'Sewer Cost Data'!$A$16:$E$22,5,FALSE),IF(K13=Data!$A$40,VLOOKUP('Sewer Project Data'!I13,'Sewer Cost Data'!$A$16:$F$22,6,FALSE),VLOOKUP('Sewer Project Data'!I13,'Sewer Cost Data'!$A$16:$G$22,7,FALSE)))))</f>
        <v>1</v>
      </c>
      <c r="N13" s="15">
        <f t="shared" si="1"/>
        <v>0</v>
      </c>
      <c r="O13" s="22">
        <v>0</v>
      </c>
      <c r="P13" s="23" t="s">
        <v>29</v>
      </c>
      <c r="Q13" s="14">
        <f>IFERROR(HLOOKUP(P13,'Sewer Cost Data'!$I$4:$J$7,2,FALSE),"")</f>
        <v>5082</v>
      </c>
      <c r="R13" s="15">
        <f t="shared" si="4"/>
        <v>0</v>
      </c>
      <c r="S13" s="22">
        <v>0</v>
      </c>
      <c r="T13" s="23" t="s">
        <v>29</v>
      </c>
      <c r="U13" s="14">
        <f>IFERROR(HLOOKUP(T13,'Sewer Cost Data'!$I$4:$J$7,3,FALSE),"")</f>
        <v>11098</v>
      </c>
      <c r="V13" s="15">
        <f t="shared" si="9"/>
        <v>0</v>
      </c>
      <c r="W13" s="22">
        <v>0</v>
      </c>
      <c r="X13" s="23" t="s">
        <v>29</v>
      </c>
      <c r="Y13" s="14">
        <f>IFERROR(HLOOKUP(X13,'Sewer Cost Data'!$I$4:$J$7,4,FALSE),"")</f>
        <v>17589</v>
      </c>
      <c r="Z13" s="15">
        <f>IFERROR(Y13*W13,"")</f>
        <v>0</v>
      </c>
      <c r="AA13" s="22">
        <v>0</v>
      </c>
      <c r="AB13" s="16">
        <f>IFERROR(IF(AA13&gt;0,'Sewer Cost Data'!$K$5,0),"")</f>
        <v>0</v>
      </c>
      <c r="AC13" s="17">
        <f>IFERROR(AB13*AA13,"")</f>
        <v>0</v>
      </c>
      <c r="AD13" s="134" t="s">
        <v>32</v>
      </c>
      <c r="AE13" s="15">
        <f>IF(B13&gt;150,IF(AD13="Yes",HLOOKUP(C13,'Sewer Cost Data'!$L$4:$S$5,2,FALSE)*'Sewer Project Data'!B13/150,0),IF(AD13="Yes",HLOOKUP(C13,'Sewer Cost Data'!$L$4:$S$5,2,FALSE),0))</f>
        <v>13458</v>
      </c>
      <c r="AF13" s="22">
        <v>0</v>
      </c>
      <c r="AG13" s="15">
        <f>IF(AF13&gt;0,IF(AF13&lt;10,'Sewer Cost Data'!$T$5,('Sewer Cost Data'!$T$5+('Sewer Cost Data'!$U$5+((AF13-10))*'Sewer Cost Data'!$U$5))),0)</f>
        <v>0</v>
      </c>
      <c r="AH13" s="22" t="s">
        <v>33</v>
      </c>
      <c r="AI13" s="15" t="b">
        <f>IF(AH13="Yes",B13*'Sewer Cost Data'!$V$5)</f>
        <v>0</v>
      </c>
      <c r="AJ13" s="18">
        <f>IFERROR(H13+R13+V13+Z13+AC13+AE13+AG13+AI13,"")</f>
        <v>13458</v>
      </c>
      <c r="AK13" s="19" t="str">
        <f t="shared" si="2"/>
        <v/>
      </c>
      <c r="AL13" s="18">
        <f>IFERROR(N13+R13+V13+Z13+AC13+AE13+AG13+AI13,"")</f>
        <v>13458</v>
      </c>
      <c r="AM13" s="19" t="str">
        <f t="shared" si="3"/>
        <v/>
      </c>
    </row>
    <row r="14" spans="1:39" x14ac:dyDescent="0.25">
      <c r="A14" s="22"/>
      <c r="B14" s="23">
        <v>0</v>
      </c>
      <c r="C14" s="156" t="s">
        <v>28</v>
      </c>
      <c r="D14" s="23" t="s">
        <v>29</v>
      </c>
      <c r="E14" s="23" t="s">
        <v>30</v>
      </c>
      <c r="F14" s="14">
        <f>IF(E14=Data!$A$38,VLOOKUP('Sewer Project Data'!C14,'Sewer Cost Data'!$A$5:$G$11,7,FALSE),IF(E14=Data!$A$37,IF(D14="0-16",VLOOKUP(C14,'Sewer Cost Data'!$A$5:$G$11,5,FALSE),VLOOKUP(C14,'Sewer Cost Data'!$A$5:$G$11,6,FALSE)),VLOOKUP('Sewer Project Data'!C14,'Sewer Cost Data'!$A$5:$E$11,5,FALSE)))</f>
        <v>188</v>
      </c>
      <c r="G14" s="95">
        <f>IF(E14=Data!$A$37,1,IF(E14=Data!$A$38,1,IF('Sewer Project Data'!E14=Data!$A$39,VLOOKUP(C14,'Sewer Cost Data'!$A$16:$E$22,5,FALSE),IF(E14=Data!$A$40,VLOOKUP('Sewer Project Data'!C14,'Sewer Cost Data'!$A$16:$F$22,6,FALSE),VLOOKUP('Sewer Project Data'!C14,'Sewer Cost Data'!$A$16:$G$22,7,FALSE)))))</f>
        <v>1</v>
      </c>
      <c r="H14" s="15">
        <f t="shared" si="0"/>
        <v>0</v>
      </c>
      <c r="I14" s="35" t="s">
        <v>34</v>
      </c>
      <c r="J14" s="23" t="s">
        <v>29</v>
      </c>
      <c r="K14" s="23" t="s">
        <v>30</v>
      </c>
      <c r="L14" s="14">
        <f>IF(K14=Data!$A$38,VLOOKUP('Sewer Project Data'!I14,'Sewer Cost Data'!$A$5:$G$12,7,FALSE),IF(K14=Data!$A$37,IF(J14="0-16",VLOOKUP(I14,'Sewer Cost Data'!$A$5:$G$12,5,FALSE),VLOOKUP(I14,'Sewer Cost Data'!$A$5:$G$12,6,FALSE)),VLOOKUP('Sewer Project Data'!I14,'Sewer Cost Data'!$A$5:$E$12,5,FALSE)))</f>
        <v>208</v>
      </c>
      <c r="M14" s="27">
        <f>IF(K14=Data!$A$37,1,IF(K14=Data!$A$38,1,IF('Sewer Project Data'!K14=Data!$A$39,VLOOKUP(I14,'Sewer Cost Data'!$A$16:$E$22,5,FALSE),IF(K14=Data!$A$40,VLOOKUP('Sewer Project Data'!I14,'Sewer Cost Data'!$A$16:$F$22,6,FALSE),VLOOKUP('Sewer Project Data'!I14,'Sewer Cost Data'!$A$16:$G$22,7,FALSE)))))</f>
        <v>1</v>
      </c>
      <c r="N14" s="15">
        <f t="shared" si="1"/>
        <v>0</v>
      </c>
      <c r="O14" s="22">
        <v>0</v>
      </c>
      <c r="P14" s="23" t="s">
        <v>29</v>
      </c>
      <c r="Q14" s="14">
        <f>IFERROR(HLOOKUP(P14,'Sewer Cost Data'!$I$4:$J$7,2,FALSE),"")</f>
        <v>5082</v>
      </c>
      <c r="R14" s="15">
        <f t="shared" si="4"/>
        <v>0</v>
      </c>
      <c r="S14" s="22">
        <v>0</v>
      </c>
      <c r="T14" s="23" t="s">
        <v>29</v>
      </c>
      <c r="U14" s="14">
        <f>IFERROR(HLOOKUP(T14,'Sewer Cost Data'!$I$4:$J$7,3,FALSE),"")</f>
        <v>11098</v>
      </c>
      <c r="V14" s="15">
        <f t="shared" si="9"/>
        <v>0</v>
      </c>
      <c r="W14" s="22">
        <v>0</v>
      </c>
      <c r="X14" s="23" t="s">
        <v>29</v>
      </c>
      <c r="Y14" s="14">
        <f>IFERROR(HLOOKUP(X14,'Sewer Cost Data'!$I$4:$J$7,4,FALSE),"")</f>
        <v>17589</v>
      </c>
      <c r="Z14" s="15">
        <f t="shared" si="5"/>
        <v>0</v>
      </c>
      <c r="AA14" s="22">
        <v>0</v>
      </c>
      <c r="AB14" s="16">
        <f>IFERROR(IF(AA14&gt;0,'Sewer Cost Data'!$K$5,0),"")</f>
        <v>0</v>
      </c>
      <c r="AC14" s="17">
        <f t="shared" si="6"/>
        <v>0</v>
      </c>
      <c r="AD14" s="134" t="s">
        <v>32</v>
      </c>
      <c r="AE14" s="15">
        <f>IF(B14&gt;150,IF(AD14="Yes",HLOOKUP(C14,'Sewer Cost Data'!$L$4:$S$5,2,FALSE)*'Sewer Project Data'!B14/150,0),IF(AD14="Yes",HLOOKUP(C14,'Sewer Cost Data'!$L$4:$S$5,2,FALSE),0))</f>
        <v>13458</v>
      </c>
      <c r="AF14" s="22">
        <v>0</v>
      </c>
      <c r="AG14" s="15">
        <f>IF(AF14&gt;0,IF(AF14&lt;10,'Sewer Cost Data'!$T$5,('Sewer Cost Data'!$T$5+('Sewer Cost Data'!$U$5+((AF14-10))*'Sewer Cost Data'!$U$5))),0)</f>
        <v>0</v>
      </c>
      <c r="AH14" s="22" t="s">
        <v>33</v>
      </c>
      <c r="AI14" s="15" t="b">
        <f>IF(AH14="Yes",B14*'Sewer Cost Data'!$V$5)</f>
        <v>0</v>
      </c>
      <c r="AJ14" s="18">
        <f t="shared" si="7"/>
        <v>13458</v>
      </c>
      <c r="AK14" s="19" t="str">
        <f t="shared" si="2"/>
        <v/>
      </c>
      <c r="AL14" s="18">
        <f t="shared" si="8"/>
        <v>13458</v>
      </c>
      <c r="AM14" s="19" t="str">
        <f t="shared" si="3"/>
        <v/>
      </c>
    </row>
    <row r="15" spans="1:39" x14ac:dyDescent="0.25">
      <c r="A15" s="22"/>
      <c r="B15" s="23">
        <v>0</v>
      </c>
      <c r="C15" s="156" t="s">
        <v>28</v>
      </c>
      <c r="D15" s="23" t="s">
        <v>29</v>
      </c>
      <c r="E15" s="23" t="s">
        <v>30</v>
      </c>
      <c r="F15" s="14">
        <f>IF(E15=Data!$A$38,VLOOKUP('Sewer Project Data'!C15,'Sewer Cost Data'!$A$5:$G$11,7,FALSE),IF(E15=Data!$A$37,IF(D15="0-16",VLOOKUP(C15,'Sewer Cost Data'!$A$5:$G$11,5,FALSE),VLOOKUP(C15,'Sewer Cost Data'!$A$5:$G$11,6,FALSE)),VLOOKUP('Sewer Project Data'!C15,'Sewer Cost Data'!$A$5:$E$11,5,FALSE)))</f>
        <v>188</v>
      </c>
      <c r="G15" s="95">
        <f>IF(E15=Data!$A$37,1,IF(E15=Data!$A$38,1,IF('Sewer Project Data'!E15=Data!$A$39,VLOOKUP(C15,'Sewer Cost Data'!$A$16:$E$22,5,FALSE),IF(E15=Data!$A$40,VLOOKUP('Sewer Project Data'!C15,'Sewer Cost Data'!$A$16:$F$22,6,FALSE),VLOOKUP('Sewer Project Data'!C15,'Sewer Cost Data'!$A$16:$G$22,7,FALSE)))))</f>
        <v>1</v>
      </c>
      <c r="H15" s="15">
        <f t="shared" si="0"/>
        <v>0</v>
      </c>
      <c r="I15" s="35" t="s">
        <v>34</v>
      </c>
      <c r="J15" s="23" t="s">
        <v>29</v>
      </c>
      <c r="K15" s="23" t="s">
        <v>30</v>
      </c>
      <c r="L15" s="14">
        <f>IF(K15=Data!$A$38,VLOOKUP('Sewer Project Data'!I15,'Sewer Cost Data'!$A$5:$G$12,7,FALSE),IF(K15=Data!$A$37,IF(J15="0-16",VLOOKUP(I15,'Sewer Cost Data'!$A$5:$G$12,5,FALSE),VLOOKUP(I15,'Sewer Cost Data'!$A$5:$G$12,6,FALSE)),VLOOKUP('Sewer Project Data'!I15,'Sewer Cost Data'!$A$5:$E$12,5,FALSE)))</f>
        <v>208</v>
      </c>
      <c r="M15" s="27">
        <f>IF(K15=Data!$A$37,1,IF(K15=Data!$A$38,1,IF('Sewer Project Data'!K15=Data!$A$39,VLOOKUP(I15,'Sewer Cost Data'!$A$16:$E$22,5,FALSE),IF(K15=Data!$A$40,VLOOKUP('Sewer Project Data'!I15,'Sewer Cost Data'!$A$16:$F$22,6,FALSE),VLOOKUP('Sewer Project Data'!I15,'Sewer Cost Data'!$A$16:$G$22,7,FALSE)))))</f>
        <v>1</v>
      </c>
      <c r="N15" s="15">
        <f t="shared" si="1"/>
        <v>0</v>
      </c>
      <c r="O15" s="22">
        <v>0</v>
      </c>
      <c r="P15" s="23" t="s">
        <v>29</v>
      </c>
      <c r="Q15" s="14">
        <f>IFERROR(HLOOKUP(P15,'Sewer Cost Data'!$I$4:$J$7,2,FALSE),"")</f>
        <v>5082</v>
      </c>
      <c r="R15" s="15">
        <f t="shared" si="4"/>
        <v>0</v>
      </c>
      <c r="S15" s="22">
        <v>0</v>
      </c>
      <c r="T15" s="23" t="s">
        <v>29</v>
      </c>
      <c r="U15" s="14">
        <f>IFERROR(HLOOKUP(T15,'Sewer Cost Data'!$I$4:$J$7,3,FALSE),"")</f>
        <v>11098</v>
      </c>
      <c r="V15" s="15">
        <f t="shared" si="9"/>
        <v>0</v>
      </c>
      <c r="W15" s="22">
        <v>0</v>
      </c>
      <c r="X15" s="23" t="s">
        <v>29</v>
      </c>
      <c r="Y15" s="14">
        <f>IFERROR(HLOOKUP(X15,'Sewer Cost Data'!$I$4:$J$7,4,FALSE),"")</f>
        <v>17589</v>
      </c>
      <c r="Z15" s="15">
        <f t="shared" si="5"/>
        <v>0</v>
      </c>
      <c r="AA15" s="22">
        <v>0</v>
      </c>
      <c r="AB15" s="16">
        <f>IFERROR(IF(AA15&gt;0,'Sewer Cost Data'!$K$5,0),"")</f>
        <v>0</v>
      </c>
      <c r="AC15" s="17">
        <f t="shared" si="6"/>
        <v>0</v>
      </c>
      <c r="AD15" s="134" t="s">
        <v>32</v>
      </c>
      <c r="AE15" s="15">
        <f>IF(B15&gt;150,IF(AD15="Yes",HLOOKUP(C15,'Sewer Cost Data'!$L$4:$S$5,2,FALSE)*'Sewer Project Data'!B15/150,0),IF(AD15="Yes",HLOOKUP(C15,'Sewer Cost Data'!$L$4:$S$5,2,FALSE),0))</f>
        <v>13458</v>
      </c>
      <c r="AF15" s="22">
        <v>0</v>
      </c>
      <c r="AG15" s="15">
        <f>IF(AF15&gt;0,IF(AF15&lt;10,'Sewer Cost Data'!$T$5,('Sewer Cost Data'!$T$5+('Sewer Cost Data'!$U$5+((AF15-10))*'Sewer Cost Data'!$U$5))),0)</f>
        <v>0</v>
      </c>
      <c r="AH15" s="22" t="s">
        <v>33</v>
      </c>
      <c r="AI15" s="15" t="b">
        <f>IF(AH15="Yes",B15*'Sewer Cost Data'!$V$5)</f>
        <v>0</v>
      </c>
      <c r="AJ15" s="18">
        <f t="shared" si="7"/>
        <v>13458</v>
      </c>
      <c r="AK15" s="19" t="str">
        <f t="shared" si="2"/>
        <v/>
      </c>
      <c r="AL15" s="18">
        <f t="shared" si="8"/>
        <v>13458</v>
      </c>
      <c r="AM15" s="19" t="str">
        <f t="shared" si="3"/>
        <v/>
      </c>
    </row>
    <row r="16" spans="1:39" x14ac:dyDescent="0.25">
      <c r="A16" s="22"/>
      <c r="B16" s="23">
        <v>0</v>
      </c>
      <c r="C16" s="156" t="s">
        <v>28</v>
      </c>
      <c r="D16" s="23" t="s">
        <v>29</v>
      </c>
      <c r="E16" s="23" t="s">
        <v>30</v>
      </c>
      <c r="F16" s="14">
        <f>IF(E16=Data!$A$38,VLOOKUP('Sewer Project Data'!C16,'Sewer Cost Data'!$A$5:$G$11,7,FALSE),IF(E16=Data!$A$37,IF(D16="0-16",VLOOKUP(C16,'Sewer Cost Data'!$A$5:$G$11,5,FALSE),VLOOKUP(C16,'Sewer Cost Data'!$A$5:$G$11,6,FALSE)),VLOOKUP('Sewer Project Data'!C16,'Sewer Cost Data'!$A$5:$E$11,5,FALSE)))</f>
        <v>188</v>
      </c>
      <c r="G16" s="95">
        <f>IF(E16=Data!$A$37,1,IF(E16=Data!$A$38,1,IF('Sewer Project Data'!E16=Data!$A$39,VLOOKUP(C16,'Sewer Cost Data'!$A$16:$E$22,5,FALSE),IF(E16=Data!$A$40,VLOOKUP('Sewer Project Data'!C16,'Sewer Cost Data'!$A$16:$F$22,6,FALSE),VLOOKUP('Sewer Project Data'!C16,'Sewer Cost Data'!$A$16:$G$22,7,FALSE)))))</f>
        <v>1</v>
      </c>
      <c r="H16" s="15">
        <f t="shared" si="0"/>
        <v>0</v>
      </c>
      <c r="I16" s="35" t="s">
        <v>34</v>
      </c>
      <c r="J16" s="23" t="s">
        <v>29</v>
      </c>
      <c r="K16" s="23" t="s">
        <v>30</v>
      </c>
      <c r="L16" s="14">
        <f>IF(K16=Data!$A$38,VLOOKUP('Sewer Project Data'!I16,'Sewer Cost Data'!$A$5:$G$12,7,FALSE),IF(K16=Data!$A$37,IF(J16="0-16",VLOOKUP(I16,'Sewer Cost Data'!$A$5:$G$12,5,FALSE),VLOOKUP(I16,'Sewer Cost Data'!$A$5:$G$12,6,FALSE)),VLOOKUP('Sewer Project Data'!I16,'Sewer Cost Data'!$A$5:$E$12,5,FALSE)))</f>
        <v>208</v>
      </c>
      <c r="M16" s="27">
        <f>IF(K16=Data!$A$37,1,IF(K16=Data!$A$38,1,IF('Sewer Project Data'!K16=Data!$A$39,VLOOKUP(I16,'Sewer Cost Data'!$A$16:$E$22,5,FALSE),IF(K16=Data!$A$40,VLOOKUP('Sewer Project Data'!I16,'Sewer Cost Data'!$A$16:$F$22,6,FALSE),VLOOKUP('Sewer Project Data'!I16,'Sewer Cost Data'!$A$16:$G$22,7,FALSE)))))</f>
        <v>1</v>
      </c>
      <c r="N16" s="15">
        <f t="shared" si="1"/>
        <v>0</v>
      </c>
      <c r="O16" s="22">
        <v>0</v>
      </c>
      <c r="P16" s="23" t="s">
        <v>29</v>
      </c>
      <c r="Q16" s="14">
        <f>IFERROR(HLOOKUP(P16,'Sewer Cost Data'!$I$4:$J$7,2,FALSE),"")</f>
        <v>5082</v>
      </c>
      <c r="R16" s="15">
        <f t="shared" si="4"/>
        <v>0</v>
      </c>
      <c r="S16" s="22">
        <v>0</v>
      </c>
      <c r="T16" s="23" t="s">
        <v>29</v>
      </c>
      <c r="U16" s="14">
        <f>IFERROR(HLOOKUP(T16,'Sewer Cost Data'!$I$4:$J$7,3,FALSE),"")</f>
        <v>11098</v>
      </c>
      <c r="V16" s="15">
        <f t="shared" si="9"/>
        <v>0</v>
      </c>
      <c r="W16" s="22">
        <v>0</v>
      </c>
      <c r="X16" s="23" t="s">
        <v>29</v>
      </c>
      <c r="Y16" s="14">
        <f>IFERROR(HLOOKUP(X16,'Sewer Cost Data'!$I$4:$J$7,4,FALSE),"")</f>
        <v>17589</v>
      </c>
      <c r="Z16" s="15">
        <f t="shared" si="5"/>
        <v>0</v>
      </c>
      <c r="AA16" s="22">
        <v>0</v>
      </c>
      <c r="AB16" s="16">
        <f>IFERROR(IF(AA16&gt;0,'Sewer Cost Data'!$K$5,0),"")</f>
        <v>0</v>
      </c>
      <c r="AC16" s="17">
        <f t="shared" si="6"/>
        <v>0</v>
      </c>
      <c r="AD16" s="134" t="s">
        <v>32</v>
      </c>
      <c r="AE16" s="15">
        <f>IF(B16&gt;150,IF(AD16="Yes",HLOOKUP(C16,'Sewer Cost Data'!$L$4:$S$5,2,FALSE)*'Sewer Project Data'!B16/150,0),IF(AD16="Yes",HLOOKUP(C16,'Sewer Cost Data'!$L$4:$S$5,2,FALSE),0))</f>
        <v>13458</v>
      </c>
      <c r="AF16" s="22">
        <v>0</v>
      </c>
      <c r="AG16" s="15">
        <f>IF(AF16&gt;0,IF(AF16&lt;10,'Sewer Cost Data'!$T$5,('Sewer Cost Data'!$T$5+('Sewer Cost Data'!$U$5+((AF16-10))*'Sewer Cost Data'!$U$5))),0)</f>
        <v>0</v>
      </c>
      <c r="AH16" s="22" t="s">
        <v>33</v>
      </c>
      <c r="AI16" s="15" t="b">
        <f>IF(AH16="Yes",B16*'Sewer Cost Data'!$V$5)</f>
        <v>0</v>
      </c>
      <c r="AJ16" s="18">
        <f t="shared" si="7"/>
        <v>13458</v>
      </c>
      <c r="AK16" s="19" t="str">
        <f t="shared" si="2"/>
        <v/>
      </c>
      <c r="AL16" s="18">
        <f t="shared" si="8"/>
        <v>13458</v>
      </c>
      <c r="AM16" s="19" t="str">
        <f t="shared" si="3"/>
        <v/>
      </c>
    </row>
    <row r="17" spans="1:39" x14ac:dyDescent="0.25">
      <c r="A17" s="22"/>
      <c r="B17" s="23">
        <v>0</v>
      </c>
      <c r="C17" s="156" t="s">
        <v>28</v>
      </c>
      <c r="D17" s="23" t="s">
        <v>29</v>
      </c>
      <c r="E17" s="23" t="s">
        <v>30</v>
      </c>
      <c r="F17" s="14">
        <f>IF(E17=Data!$A$38,VLOOKUP('Sewer Project Data'!C17,'Sewer Cost Data'!$A$5:$G$11,7,FALSE),IF(E17=Data!$A$37,IF(D17="0-16",VLOOKUP(C17,'Sewer Cost Data'!$A$5:$G$11,5,FALSE),VLOOKUP(C17,'Sewer Cost Data'!$A$5:$G$11,6,FALSE)),VLOOKUP('Sewer Project Data'!C17,'Sewer Cost Data'!$A$5:$E$11,5,FALSE)))</f>
        <v>188</v>
      </c>
      <c r="G17" s="95">
        <f>IF(E17=Data!$A$37,1,IF(E17=Data!$A$38,1,IF('Sewer Project Data'!E17=Data!$A$39,VLOOKUP(C17,'Sewer Cost Data'!$A$16:$E$22,5,FALSE),IF(E17=Data!$A$40,VLOOKUP('Sewer Project Data'!C17,'Sewer Cost Data'!$A$16:$F$22,6,FALSE),VLOOKUP('Sewer Project Data'!C17,'Sewer Cost Data'!$A$16:$G$22,7,FALSE)))))</f>
        <v>1</v>
      </c>
      <c r="H17" s="15">
        <f t="shared" si="0"/>
        <v>0</v>
      </c>
      <c r="I17" s="35" t="s">
        <v>34</v>
      </c>
      <c r="J17" s="23" t="s">
        <v>29</v>
      </c>
      <c r="K17" s="23" t="s">
        <v>30</v>
      </c>
      <c r="L17" s="14">
        <f>IF(K17=Data!$A$38,VLOOKUP('Sewer Project Data'!I17,'Sewer Cost Data'!$A$5:$G$12,7,FALSE),IF(K17=Data!$A$37,IF(J17="0-16",VLOOKUP(I17,'Sewer Cost Data'!$A$5:$G$12,5,FALSE),VLOOKUP(I17,'Sewer Cost Data'!$A$5:$G$12,6,FALSE)),VLOOKUP('Sewer Project Data'!I17,'Sewer Cost Data'!$A$5:$E$12,5,FALSE)))</f>
        <v>208</v>
      </c>
      <c r="M17" s="27">
        <f>IF(K17=Data!$A$37,1,IF(K17=Data!$A$38,1,IF('Sewer Project Data'!K17=Data!$A$39,VLOOKUP(I17,'Sewer Cost Data'!$A$16:$E$22,5,FALSE),IF(K17=Data!$A$40,VLOOKUP('Sewer Project Data'!I17,'Sewer Cost Data'!$A$16:$F$22,6,FALSE),VLOOKUP('Sewer Project Data'!I17,'Sewer Cost Data'!$A$16:$G$22,7,FALSE)))))</f>
        <v>1</v>
      </c>
      <c r="N17" s="15">
        <f t="shared" si="1"/>
        <v>0</v>
      </c>
      <c r="O17" s="22">
        <v>0</v>
      </c>
      <c r="P17" s="23" t="s">
        <v>29</v>
      </c>
      <c r="Q17" s="14">
        <f>IFERROR(HLOOKUP(P17,'Sewer Cost Data'!$I$4:$J$7,2,FALSE),"")</f>
        <v>5082</v>
      </c>
      <c r="R17" s="15">
        <f t="shared" si="4"/>
        <v>0</v>
      </c>
      <c r="S17" s="22">
        <v>0</v>
      </c>
      <c r="T17" s="23" t="s">
        <v>29</v>
      </c>
      <c r="U17" s="14">
        <f>IFERROR(HLOOKUP(T17,'Sewer Cost Data'!$I$4:$J$7,3,FALSE),"")</f>
        <v>11098</v>
      </c>
      <c r="V17" s="15">
        <f t="shared" si="9"/>
        <v>0</v>
      </c>
      <c r="W17" s="22">
        <v>0</v>
      </c>
      <c r="X17" s="23" t="s">
        <v>29</v>
      </c>
      <c r="Y17" s="14">
        <f>IFERROR(HLOOKUP(X17,'Sewer Cost Data'!$I$4:$J$7,4,FALSE),"")</f>
        <v>17589</v>
      </c>
      <c r="Z17" s="15">
        <f t="shared" si="5"/>
        <v>0</v>
      </c>
      <c r="AA17" s="22">
        <v>0</v>
      </c>
      <c r="AB17" s="16">
        <f>IFERROR(IF(AA17&gt;0,'Sewer Cost Data'!$K$5,0),"")</f>
        <v>0</v>
      </c>
      <c r="AC17" s="17">
        <f t="shared" si="6"/>
        <v>0</v>
      </c>
      <c r="AD17" s="134" t="s">
        <v>32</v>
      </c>
      <c r="AE17" s="15">
        <f>IF(B17&gt;150,IF(AD17="Yes",HLOOKUP(C17,'Sewer Cost Data'!$L$4:$S$5,2,FALSE)*'Sewer Project Data'!B17/150,0),IF(AD17="Yes",HLOOKUP(C17,'Sewer Cost Data'!$L$4:$S$5,2,FALSE),0))</f>
        <v>13458</v>
      </c>
      <c r="AF17" s="22">
        <v>0</v>
      </c>
      <c r="AG17" s="15">
        <f>IF(AF17&gt;0,IF(AF17&lt;10,'Sewer Cost Data'!$T$5,('Sewer Cost Data'!$T$5+('Sewer Cost Data'!$U$5+((AF17-10))*'Sewer Cost Data'!$U$5))),0)</f>
        <v>0</v>
      </c>
      <c r="AH17" s="22" t="s">
        <v>33</v>
      </c>
      <c r="AI17" s="15" t="b">
        <f>IF(AH17="Yes",B17*'Sewer Cost Data'!$V$5)</f>
        <v>0</v>
      </c>
      <c r="AJ17" s="18">
        <f t="shared" si="7"/>
        <v>13458</v>
      </c>
      <c r="AK17" s="19" t="str">
        <f t="shared" si="2"/>
        <v/>
      </c>
      <c r="AL17" s="18">
        <f t="shared" si="8"/>
        <v>13458</v>
      </c>
      <c r="AM17" s="19" t="str">
        <f t="shared" si="3"/>
        <v/>
      </c>
    </row>
    <row r="18" spans="1:39" x14ac:dyDescent="0.25">
      <c r="A18" s="22"/>
      <c r="B18" s="23">
        <v>0</v>
      </c>
      <c r="C18" s="156" t="s">
        <v>28</v>
      </c>
      <c r="D18" s="23" t="s">
        <v>29</v>
      </c>
      <c r="E18" s="23" t="s">
        <v>30</v>
      </c>
      <c r="F18" s="14">
        <f>IF(E18=Data!$A$38,VLOOKUP('Sewer Project Data'!C18,'Sewer Cost Data'!$A$5:$G$11,7,FALSE),IF(E18=Data!$A$37,IF(D18="0-16",VLOOKUP(C18,'Sewer Cost Data'!$A$5:$G$11,5,FALSE),VLOOKUP(C18,'Sewer Cost Data'!$A$5:$G$11,6,FALSE)),VLOOKUP('Sewer Project Data'!C18,'Sewer Cost Data'!$A$5:$E$11,5,FALSE)))</f>
        <v>188</v>
      </c>
      <c r="G18" s="95">
        <f>IF(E18=Data!$A$37,1,IF(E18=Data!$A$38,1,IF('Sewer Project Data'!E18=Data!$A$39,VLOOKUP(C18,'Sewer Cost Data'!$A$16:$E$22,5,FALSE),IF(E18=Data!$A$40,VLOOKUP('Sewer Project Data'!C18,'Sewer Cost Data'!$A$16:$F$22,6,FALSE),VLOOKUP('Sewer Project Data'!C18,'Sewer Cost Data'!$A$16:$G$22,7,FALSE)))))</f>
        <v>1</v>
      </c>
      <c r="H18" s="15">
        <f t="shared" si="0"/>
        <v>0</v>
      </c>
      <c r="I18" s="35" t="s">
        <v>34</v>
      </c>
      <c r="J18" s="23" t="s">
        <v>29</v>
      </c>
      <c r="K18" s="23" t="s">
        <v>30</v>
      </c>
      <c r="L18" s="14">
        <f>IF(K18=Data!$A$38,VLOOKUP('Sewer Project Data'!I18,'Sewer Cost Data'!$A$5:$G$12,7,FALSE),IF(K18=Data!$A$37,IF(J18="0-16",VLOOKUP(I18,'Sewer Cost Data'!$A$5:$G$12,5,FALSE),VLOOKUP(I18,'Sewer Cost Data'!$A$5:$G$12,6,FALSE)),VLOOKUP('Sewer Project Data'!I18,'Sewer Cost Data'!$A$5:$E$12,5,FALSE)))</f>
        <v>208</v>
      </c>
      <c r="M18" s="27">
        <f>IF(K18=Data!$A$37,1,IF(K18=Data!$A$38,1,IF('Sewer Project Data'!K18=Data!$A$39,VLOOKUP(I18,'Sewer Cost Data'!$A$16:$E$22,5,FALSE),IF(K18=Data!$A$40,VLOOKUP('Sewer Project Data'!I18,'Sewer Cost Data'!$A$16:$F$22,6,FALSE),VLOOKUP('Sewer Project Data'!I18,'Sewer Cost Data'!$A$16:$G$22,7,FALSE)))))</f>
        <v>1</v>
      </c>
      <c r="N18" s="15">
        <f t="shared" si="1"/>
        <v>0</v>
      </c>
      <c r="O18" s="22">
        <v>0</v>
      </c>
      <c r="P18" s="23" t="s">
        <v>29</v>
      </c>
      <c r="Q18" s="14">
        <f>IFERROR(HLOOKUP(P18,'Sewer Cost Data'!$I$4:$J$7,2,FALSE),"")</f>
        <v>5082</v>
      </c>
      <c r="R18" s="15">
        <f t="shared" si="4"/>
        <v>0</v>
      </c>
      <c r="S18" s="22">
        <v>0</v>
      </c>
      <c r="T18" s="23" t="s">
        <v>29</v>
      </c>
      <c r="U18" s="14">
        <f>IFERROR(HLOOKUP(T18,'Sewer Cost Data'!$I$4:$J$7,3,FALSE),"")</f>
        <v>11098</v>
      </c>
      <c r="V18" s="15">
        <f t="shared" si="9"/>
        <v>0</v>
      </c>
      <c r="W18" s="22">
        <v>0</v>
      </c>
      <c r="X18" s="23" t="s">
        <v>29</v>
      </c>
      <c r="Y18" s="14">
        <f>IFERROR(HLOOKUP(X18,'Sewer Cost Data'!$I$4:$J$7,4,FALSE),"")</f>
        <v>17589</v>
      </c>
      <c r="Z18" s="15">
        <f t="shared" si="5"/>
        <v>0</v>
      </c>
      <c r="AA18" s="22">
        <v>0</v>
      </c>
      <c r="AB18" s="16">
        <f>IFERROR(IF(AA18&gt;0,'Sewer Cost Data'!$K$5,0),"")</f>
        <v>0</v>
      </c>
      <c r="AC18" s="17">
        <f t="shared" si="6"/>
        <v>0</v>
      </c>
      <c r="AD18" s="134" t="s">
        <v>32</v>
      </c>
      <c r="AE18" s="15">
        <f>IF(B18&gt;150,IF(AD18="Yes",HLOOKUP(C18,'Sewer Cost Data'!$L$4:$S$5,2,FALSE)*'Sewer Project Data'!B18/150,0),IF(AD18="Yes",HLOOKUP(C18,'Sewer Cost Data'!$L$4:$S$5,2,FALSE),0))</f>
        <v>13458</v>
      </c>
      <c r="AF18" s="22">
        <v>0</v>
      </c>
      <c r="AG18" s="15">
        <f>IF(AF18&gt;0,IF(AF18&lt;10,'Sewer Cost Data'!$T$5,('Sewer Cost Data'!$T$5+('Sewer Cost Data'!$U$5+((AF18-10))*'Sewer Cost Data'!$U$5))),0)</f>
        <v>0</v>
      </c>
      <c r="AH18" s="22" t="s">
        <v>33</v>
      </c>
      <c r="AI18" s="15" t="b">
        <f>IF(AH18="Yes",B18*'Sewer Cost Data'!$V$5)</f>
        <v>0</v>
      </c>
      <c r="AJ18" s="18">
        <f t="shared" si="7"/>
        <v>13458</v>
      </c>
      <c r="AK18" s="19" t="str">
        <f t="shared" si="2"/>
        <v/>
      </c>
      <c r="AL18" s="18">
        <f t="shared" si="8"/>
        <v>13458</v>
      </c>
      <c r="AM18" s="19" t="str">
        <f t="shared" si="3"/>
        <v/>
      </c>
    </row>
    <row r="19" spans="1:39" x14ac:dyDescent="0.25">
      <c r="A19" s="22"/>
      <c r="B19" s="23">
        <v>0</v>
      </c>
      <c r="C19" s="156" t="s">
        <v>28</v>
      </c>
      <c r="D19" s="23" t="s">
        <v>29</v>
      </c>
      <c r="E19" s="23" t="s">
        <v>30</v>
      </c>
      <c r="F19" s="14">
        <f>IF(E19=Data!$A$38,VLOOKUP('Sewer Project Data'!C19,'Sewer Cost Data'!$A$5:$G$11,7,FALSE),IF(E19=Data!$A$37,IF(D19="0-16",VLOOKUP(C19,'Sewer Cost Data'!$A$5:$G$11,5,FALSE),VLOOKUP(C19,'Sewer Cost Data'!$A$5:$G$11,6,FALSE)),VLOOKUP('Sewer Project Data'!C19,'Sewer Cost Data'!$A$5:$E$11,5,FALSE)))</f>
        <v>188</v>
      </c>
      <c r="G19" s="95">
        <f>IF(E19=Data!$A$37,1,IF(E19=Data!$A$38,1,IF('Sewer Project Data'!E19=Data!$A$39,VLOOKUP(C19,'Sewer Cost Data'!$A$16:$E$22,5,FALSE),IF(E19=Data!$A$40,VLOOKUP('Sewer Project Data'!C19,'Sewer Cost Data'!$A$16:$F$22,6,FALSE),VLOOKUP('Sewer Project Data'!C19,'Sewer Cost Data'!$A$16:$G$22,7,FALSE)))))</f>
        <v>1</v>
      </c>
      <c r="H19" s="15">
        <f t="shared" si="0"/>
        <v>0</v>
      </c>
      <c r="I19" s="35" t="s">
        <v>34</v>
      </c>
      <c r="J19" s="23" t="s">
        <v>29</v>
      </c>
      <c r="K19" s="23" t="s">
        <v>30</v>
      </c>
      <c r="L19" s="14">
        <f>IF(K19=Data!$A$38,VLOOKUP('Sewer Project Data'!I19,'Sewer Cost Data'!$A$5:$G$12,7,FALSE),IF(K19=Data!$A$37,IF(J19="0-16",VLOOKUP(I19,'Sewer Cost Data'!$A$5:$G$12,5,FALSE),VLOOKUP(I19,'Sewer Cost Data'!$A$5:$G$12,6,FALSE)),VLOOKUP('Sewer Project Data'!I19,'Sewer Cost Data'!$A$5:$E$12,5,FALSE)))</f>
        <v>208</v>
      </c>
      <c r="M19" s="27">
        <f>IF(K19=Data!$A$37,1,IF(K19=Data!$A$38,1,IF('Sewer Project Data'!K19=Data!$A$39,VLOOKUP(I19,'Sewer Cost Data'!$A$16:$E$22,5,FALSE),IF(K19=Data!$A$40,VLOOKUP('Sewer Project Data'!I19,'Sewer Cost Data'!$A$16:$F$22,6,FALSE),VLOOKUP('Sewer Project Data'!I19,'Sewer Cost Data'!$A$16:$G$22,7,FALSE)))))</f>
        <v>1</v>
      </c>
      <c r="N19" s="15">
        <f t="shared" si="1"/>
        <v>0</v>
      </c>
      <c r="O19" s="22">
        <v>0</v>
      </c>
      <c r="P19" s="23" t="s">
        <v>29</v>
      </c>
      <c r="Q19" s="14">
        <f>IFERROR(HLOOKUP(P19,'Sewer Cost Data'!$I$4:$J$7,2,FALSE),"")</f>
        <v>5082</v>
      </c>
      <c r="R19" s="15">
        <f t="shared" si="4"/>
        <v>0</v>
      </c>
      <c r="S19" s="22">
        <v>0</v>
      </c>
      <c r="T19" s="23" t="s">
        <v>29</v>
      </c>
      <c r="U19" s="14">
        <f>IFERROR(HLOOKUP(T19,'Sewer Cost Data'!$I$4:$J$7,3,FALSE),"")</f>
        <v>11098</v>
      </c>
      <c r="V19" s="15">
        <f t="shared" si="9"/>
        <v>0</v>
      </c>
      <c r="W19" s="22">
        <v>0</v>
      </c>
      <c r="X19" s="23" t="s">
        <v>29</v>
      </c>
      <c r="Y19" s="14">
        <f>IFERROR(HLOOKUP(X19,'Sewer Cost Data'!$I$4:$J$7,4,FALSE),"")</f>
        <v>17589</v>
      </c>
      <c r="Z19" s="15">
        <f t="shared" si="5"/>
        <v>0</v>
      </c>
      <c r="AA19" s="22">
        <v>0</v>
      </c>
      <c r="AB19" s="16">
        <f>IFERROR(IF(AA19&gt;0,'Sewer Cost Data'!$K$5,0),"")</f>
        <v>0</v>
      </c>
      <c r="AC19" s="17">
        <f t="shared" si="6"/>
        <v>0</v>
      </c>
      <c r="AD19" s="134" t="s">
        <v>32</v>
      </c>
      <c r="AE19" s="15">
        <f>IF(B19&gt;150,IF(AD19="Yes",HLOOKUP(C19,'Sewer Cost Data'!$L$4:$S$5,2,FALSE)*'Sewer Project Data'!B19/150,0),IF(AD19="Yes",HLOOKUP(C19,'Sewer Cost Data'!$L$4:$S$5,2,FALSE),0))</f>
        <v>13458</v>
      </c>
      <c r="AF19" s="22">
        <v>0</v>
      </c>
      <c r="AG19" s="15">
        <f>IF(AF19&gt;0,IF(AF19&lt;10,'Sewer Cost Data'!$T$5,('Sewer Cost Data'!$T$5+('Sewer Cost Data'!$U$5+((AF19-10))*'Sewer Cost Data'!$U$5))),0)</f>
        <v>0</v>
      </c>
      <c r="AH19" s="22" t="s">
        <v>33</v>
      </c>
      <c r="AI19" s="15" t="b">
        <f>IF(AH19="Yes",B19*'Sewer Cost Data'!$V$5)</f>
        <v>0</v>
      </c>
      <c r="AJ19" s="18">
        <f t="shared" si="7"/>
        <v>13458</v>
      </c>
      <c r="AK19" s="19" t="str">
        <f t="shared" si="2"/>
        <v/>
      </c>
      <c r="AL19" s="18">
        <f t="shared" si="8"/>
        <v>13458</v>
      </c>
      <c r="AM19" s="19" t="str">
        <f t="shared" si="3"/>
        <v/>
      </c>
    </row>
    <row r="20" spans="1:39" x14ac:dyDescent="0.25">
      <c r="A20" s="22"/>
      <c r="B20" s="23">
        <v>0</v>
      </c>
      <c r="C20" s="156" t="s">
        <v>28</v>
      </c>
      <c r="D20" s="23" t="s">
        <v>29</v>
      </c>
      <c r="E20" s="23" t="s">
        <v>30</v>
      </c>
      <c r="F20" s="14">
        <f>IF(E20=Data!$A$38,VLOOKUP('Sewer Project Data'!C20,'Sewer Cost Data'!$A$5:$G$11,7,FALSE),IF(E20=Data!$A$37,IF(D20="0-16",VLOOKUP(C20,'Sewer Cost Data'!$A$5:$G$11,5,FALSE),VLOOKUP(C20,'Sewer Cost Data'!$A$5:$G$11,6,FALSE)),VLOOKUP('Sewer Project Data'!C20,'Sewer Cost Data'!$A$5:$E$11,5,FALSE)))</f>
        <v>188</v>
      </c>
      <c r="G20" s="95">
        <f>IF(E20=Data!$A$37,1,IF(E20=Data!$A$38,1,IF('Sewer Project Data'!E20=Data!$A$39,VLOOKUP(C20,'Sewer Cost Data'!$A$16:$E$22,5,FALSE),IF(E20=Data!$A$40,VLOOKUP('Sewer Project Data'!C20,'Sewer Cost Data'!$A$16:$F$22,6,FALSE),VLOOKUP('Sewer Project Data'!C20,'Sewer Cost Data'!$A$16:$G$22,7,FALSE)))))</f>
        <v>1</v>
      </c>
      <c r="H20" s="15">
        <f t="shared" si="0"/>
        <v>0</v>
      </c>
      <c r="I20" s="35" t="s">
        <v>34</v>
      </c>
      <c r="J20" s="23" t="s">
        <v>29</v>
      </c>
      <c r="K20" s="23" t="s">
        <v>30</v>
      </c>
      <c r="L20" s="14">
        <f>IF(K20=Data!$A$38,VLOOKUP('Sewer Project Data'!I20,'Sewer Cost Data'!$A$5:$G$12,7,FALSE),IF(K20=Data!$A$37,IF(J20="0-16",VLOOKUP(I20,'Sewer Cost Data'!$A$5:$G$12,5,FALSE),VLOOKUP(I20,'Sewer Cost Data'!$A$5:$G$12,6,FALSE)),VLOOKUP('Sewer Project Data'!I20,'Sewer Cost Data'!$A$5:$E$12,5,FALSE)))</f>
        <v>208</v>
      </c>
      <c r="M20" s="27">
        <f>IF(K20=Data!$A$37,1,IF(K20=Data!$A$38,1,IF('Sewer Project Data'!K20=Data!$A$39,VLOOKUP(I20,'Sewer Cost Data'!$A$16:$E$22,5,FALSE),IF(K20=Data!$A$40,VLOOKUP('Sewer Project Data'!I20,'Sewer Cost Data'!$A$16:$F$22,6,FALSE),VLOOKUP('Sewer Project Data'!I20,'Sewer Cost Data'!$A$16:$G$22,7,FALSE)))))</f>
        <v>1</v>
      </c>
      <c r="N20" s="15">
        <f t="shared" si="1"/>
        <v>0</v>
      </c>
      <c r="O20" s="22">
        <v>0</v>
      </c>
      <c r="P20" s="23" t="s">
        <v>29</v>
      </c>
      <c r="Q20" s="14">
        <f>IFERROR(HLOOKUP(P20,'Sewer Cost Data'!$I$4:$J$7,2,FALSE),"")</f>
        <v>5082</v>
      </c>
      <c r="R20" s="15">
        <f t="shared" si="4"/>
        <v>0</v>
      </c>
      <c r="S20" s="22">
        <v>0</v>
      </c>
      <c r="T20" s="23" t="s">
        <v>29</v>
      </c>
      <c r="U20" s="14">
        <f>IFERROR(HLOOKUP(T20,'Sewer Cost Data'!$I$4:$J$7,3,FALSE),"")</f>
        <v>11098</v>
      </c>
      <c r="V20" s="15">
        <f t="shared" si="9"/>
        <v>0</v>
      </c>
      <c r="W20" s="22">
        <v>0</v>
      </c>
      <c r="X20" s="23" t="s">
        <v>29</v>
      </c>
      <c r="Y20" s="14">
        <f>IFERROR(HLOOKUP(X20,'Sewer Cost Data'!$I$4:$J$7,4,FALSE),"")</f>
        <v>17589</v>
      </c>
      <c r="Z20" s="15">
        <f t="shared" si="5"/>
        <v>0</v>
      </c>
      <c r="AA20" s="22">
        <v>0</v>
      </c>
      <c r="AB20" s="16">
        <f>IFERROR(IF(AA20&gt;0,'Sewer Cost Data'!$K$5,0),"")</f>
        <v>0</v>
      </c>
      <c r="AC20" s="17">
        <f t="shared" si="6"/>
        <v>0</v>
      </c>
      <c r="AD20" s="134" t="s">
        <v>32</v>
      </c>
      <c r="AE20" s="15">
        <f>IF(B20&gt;150,IF(AD20="Yes",HLOOKUP(C20,'Sewer Cost Data'!$L$4:$S$5,2,FALSE)*'Sewer Project Data'!B20/150,0),IF(AD20="Yes",HLOOKUP(C20,'Sewer Cost Data'!$L$4:$S$5,2,FALSE),0))</f>
        <v>13458</v>
      </c>
      <c r="AF20" s="22">
        <v>0</v>
      </c>
      <c r="AG20" s="15">
        <f>IF(AF20&gt;0,IF(AF20&lt;10,'Sewer Cost Data'!$T$5,('Sewer Cost Data'!$T$5+('Sewer Cost Data'!$U$5+((AF20-10))*'Sewer Cost Data'!$U$5))),0)</f>
        <v>0</v>
      </c>
      <c r="AH20" s="22" t="s">
        <v>33</v>
      </c>
      <c r="AI20" s="15" t="b">
        <f>IF(AH20="Yes",B20*'Sewer Cost Data'!$V$5)</f>
        <v>0</v>
      </c>
      <c r="AJ20" s="18">
        <f t="shared" si="7"/>
        <v>13458</v>
      </c>
      <c r="AK20" s="19" t="str">
        <f t="shared" si="2"/>
        <v/>
      </c>
      <c r="AL20" s="18">
        <f t="shared" si="8"/>
        <v>13458</v>
      </c>
      <c r="AM20" s="19" t="str">
        <f t="shared" si="3"/>
        <v/>
      </c>
    </row>
    <row r="21" spans="1:39" x14ac:dyDescent="0.25">
      <c r="A21" s="22"/>
      <c r="B21" s="23">
        <v>0</v>
      </c>
      <c r="C21" s="156" t="s">
        <v>28</v>
      </c>
      <c r="D21" s="23" t="s">
        <v>29</v>
      </c>
      <c r="E21" s="23" t="s">
        <v>30</v>
      </c>
      <c r="F21" s="14">
        <f>IF(E21=Data!$A$38,VLOOKUP('Sewer Project Data'!C21,'Sewer Cost Data'!$A$5:$G$11,7,FALSE),IF(E21=Data!$A$37,IF(D21="0-16",VLOOKUP(C21,'Sewer Cost Data'!$A$5:$G$11,5,FALSE),VLOOKUP(C21,'Sewer Cost Data'!$A$5:$G$11,6,FALSE)),VLOOKUP('Sewer Project Data'!C21,'Sewer Cost Data'!$A$5:$E$11,5,FALSE)))</f>
        <v>188</v>
      </c>
      <c r="G21" s="95">
        <f>IF(E21=Data!$A$37,1,IF(E21=Data!$A$38,1,IF('Sewer Project Data'!E21=Data!$A$39,VLOOKUP(C21,'Sewer Cost Data'!$A$16:$E$22,5,FALSE),IF(E21=Data!$A$40,VLOOKUP('Sewer Project Data'!C21,'Sewer Cost Data'!$A$16:$F$22,6,FALSE),VLOOKUP('Sewer Project Data'!C21,'Sewer Cost Data'!$A$16:$G$22,7,FALSE)))))</f>
        <v>1</v>
      </c>
      <c r="H21" s="15">
        <f t="shared" si="0"/>
        <v>0</v>
      </c>
      <c r="I21" s="35" t="s">
        <v>34</v>
      </c>
      <c r="J21" s="23" t="s">
        <v>29</v>
      </c>
      <c r="K21" s="23" t="s">
        <v>30</v>
      </c>
      <c r="L21" s="14">
        <f>IF(K21=Data!$A$38,VLOOKUP('Sewer Project Data'!I21,'Sewer Cost Data'!$A$5:$G$12,7,FALSE),IF(K21=Data!$A$37,IF(J21="0-16",VLOOKUP(I21,'Sewer Cost Data'!$A$5:$G$12,5,FALSE),VLOOKUP(I21,'Sewer Cost Data'!$A$5:$G$12,6,FALSE)),VLOOKUP('Sewer Project Data'!I21,'Sewer Cost Data'!$A$5:$E$12,5,FALSE)))</f>
        <v>208</v>
      </c>
      <c r="M21" s="27">
        <f>IF(K21=Data!$A$37,1,IF(K21=Data!$A$38,1,IF('Sewer Project Data'!K21=Data!$A$39,VLOOKUP(I21,'Sewer Cost Data'!$A$16:$E$22,5,FALSE),IF(K21=Data!$A$40,VLOOKUP('Sewer Project Data'!I21,'Sewer Cost Data'!$A$16:$F$22,6,FALSE),VLOOKUP('Sewer Project Data'!I21,'Sewer Cost Data'!$A$16:$G$22,7,FALSE)))))</f>
        <v>1</v>
      </c>
      <c r="N21" s="15">
        <f t="shared" si="1"/>
        <v>0</v>
      </c>
      <c r="O21" s="22">
        <v>0</v>
      </c>
      <c r="P21" s="23" t="s">
        <v>29</v>
      </c>
      <c r="Q21" s="14">
        <f>IFERROR(HLOOKUP(P21,'Sewer Cost Data'!$I$4:$J$7,2,FALSE),"")</f>
        <v>5082</v>
      </c>
      <c r="R21" s="15">
        <f t="shared" si="4"/>
        <v>0</v>
      </c>
      <c r="S21" s="22">
        <v>0</v>
      </c>
      <c r="T21" s="23" t="s">
        <v>29</v>
      </c>
      <c r="U21" s="14">
        <f>IFERROR(HLOOKUP(T21,'Sewer Cost Data'!$I$4:$J$7,3,FALSE),"")</f>
        <v>11098</v>
      </c>
      <c r="V21" s="15">
        <f t="shared" si="9"/>
        <v>0</v>
      </c>
      <c r="W21" s="22">
        <v>0</v>
      </c>
      <c r="X21" s="23" t="s">
        <v>29</v>
      </c>
      <c r="Y21" s="14">
        <f>IFERROR(HLOOKUP(X21,'Sewer Cost Data'!$I$4:$J$7,4,FALSE),"")</f>
        <v>17589</v>
      </c>
      <c r="Z21" s="15">
        <f t="shared" si="5"/>
        <v>0</v>
      </c>
      <c r="AA21" s="22">
        <v>0</v>
      </c>
      <c r="AB21" s="16">
        <f>IFERROR(IF(AA21&gt;0,'Sewer Cost Data'!$K$5,0),"")</f>
        <v>0</v>
      </c>
      <c r="AC21" s="17">
        <f t="shared" si="6"/>
        <v>0</v>
      </c>
      <c r="AD21" s="134" t="s">
        <v>32</v>
      </c>
      <c r="AE21" s="15">
        <f>IF(B21&gt;150,IF(AD21="Yes",HLOOKUP(C21,'Sewer Cost Data'!$L$4:$S$5,2,FALSE)*'Sewer Project Data'!B21/150,0),IF(AD21="Yes",HLOOKUP(C21,'Sewer Cost Data'!$L$4:$S$5,2,FALSE),0))</f>
        <v>13458</v>
      </c>
      <c r="AF21" s="22">
        <v>0</v>
      </c>
      <c r="AG21" s="15">
        <f>IF(AF21&gt;0,IF(AF21&lt;10,'Sewer Cost Data'!$T$5,('Sewer Cost Data'!$T$5+('Sewer Cost Data'!$U$5+((AF21-10))*'Sewer Cost Data'!$U$5))),0)</f>
        <v>0</v>
      </c>
      <c r="AH21" s="22" t="s">
        <v>33</v>
      </c>
      <c r="AI21" s="15" t="b">
        <f>IF(AH21="Yes",B21*'Sewer Cost Data'!$V$5)</f>
        <v>0</v>
      </c>
      <c r="AJ21" s="18">
        <f t="shared" si="7"/>
        <v>13458</v>
      </c>
      <c r="AK21" s="19" t="str">
        <f t="shared" si="2"/>
        <v/>
      </c>
      <c r="AL21" s="18">
        <f t="shared" si="8"/>
        <v>13458</v>
      </c>
      <c r="AM21" s="19" t="str">
        <f t="shared" si="3"/>
        <v/>
      </c>
    </row>
    <row r="22" spans="1:39" x14ac:dyDescent="0.25">
      <c r="A22" s="22"/>
      <c r="B22" s="23">
        <v>0</v>
      </c>
      <c r="C22" s="156" t="s">
        <v>28</v>
      </c>
      <c r="D22" s="23" t="s">
        <v>29</v>
      </c>
      <c r="E22" s="23" t="s">
        <v>30</v>
      </c>
      <c r="F22" s="14">
        <f>IF(E22=Data!$A$38,VLOOKUP('Sewer Project Data'!C22,'Sewer Cost Data'!$A$5:$G$11,7,FALSE),IF(E22=Data!$A$37,IF(D22="0-16",VLOOKUP(C22,'Sewer Cost Data'!$A$5:$G$11,5,FALSE),VLOOKUP(C22,'Sewer Cost Data'!$A$5:$G$11,6,FALSE)),VLOOKUP('Sewer Project Data'!C22,'Sewer Cost Data'!$A$5:$E$11,5,FALSE)))</f>
        <v>188</v>
      </c>
      <c r="G22" s="95">
        <f>IF(E22=Data!$A$37,1,IF(E22=Data!$A$38,1,IF('Sewer Project Data'!E22=Data!$A$39,VLOOKUP(C22,'Sewer Cost Data'!$A$16:$E$22,5,FALSE),IF(E22=Data!$A$40,VLOOKUP('Sewer Project Data'!C22,'Sewer Cost Data'!$A$16:$F$22,6,FALSE),VLOOKUP('Sewer Project Data'!C22,'Sewer Cost Data'!$A$16:$G$22,7,FALSE)))))</f>
        <v>1</v>
      </c>
      <c r="H22" s="15">
        <f t="shared" si="0"/>
        <v>0</v>
      </c>
      <c r="I22" s="35" t="s">
        <v>34</v>
      </c>
      <c r="J22" s="23" t="s">
        <v>29</v>
      </c>
      <c r="K22" s="23" t="s">
        <v>30</v>
      </c>
      <c r="L22" s="14">
        <f>IF(K22=Data!$A$38,VLOOKUP('Sewer Project Data'!I22,'Sewer Cost Data'!$A$5:$G$12,7,FALSE),IF(K22=Data!$A$37,IF(J22="0-16",VLOOKUP(I22,'Sewer Cost Data'!$A$5:$G$12,5,FALSE),VLOOKUP(I22,'Sewer Cost Data'!$A$5:$G$12,6,FALSE)),VLOOKUP('Sewer Project Data'!I22,'Sewer Cost Data'!$A$5:$E$12,5,FALSE)))</f>
        <v>208</v>
      </c>
      <c r="M22" s="27">
        <f>IF(K22=Data!$A$37,1,IF(K22=Data!$A$38,1,IF('Sewer Project Data'!K22=Data!$A$39,VLOOKUP(I22,'Sewer Cost Data'!$A$16:$E$22,5,FALSE),IF(K22=Data!$A$40,VLOOKUP('Sewer Project Data'!I22,'Sewer Cost Data'!$A$16:$F$22,6,FALSE),VLOOKUP('Sewer Project Data'!I22,'Sewer Cost Data'!$A$16:$G$22,7,FALSE)))))</f>
        <v>1</v>
      </c>
      <c r="N22" s="15">
        <f t="shared" si="1"/>
        <v>0</v>
      </c>
      <c r="O22" s="22">
        <v>0</v>
      </c>
      <c r="P22" s="23" t="s">
        <v>29</v>
      </c>
      <c r="Q22" s="14">
        <f>IFERROR(HLOOKUP(P22,'Sewer Cost Data'!$I$4:$J$7,2,FALSE),"")</f>
        <v>5082</v>
      </c>
      <c r="R22" s="15">
        <f t="shared" si="4"/>
        <v>0</v>
      </c>
      <c r="S22" s="22">
        <v>0</v>
      </c>
      <c r="T22" s="23" t="s">
        <v>29</v>
      </c>
      <c r="U22" s="14">
        <f>IFERROR(HLOOKUP(T22,'Sewer Cost Data'!$I$4:$J$7,3,FALSE),"")</f>
        <v>11098</v>
      </c>
      <c r="V22" s="15">
        <f t="shared" si="9"/>
        <v>0</v>
      </c>
      <c r="W22" s="22">
        <v>0</v>
      </c>
      <c r="X22" s="23" t="s">
        <v>29</v>
      </c>
      <c r="Y22" s="14">
        <f>IFERROR(HLOOKUP(X22,'Sewer Cost Data'!$I$4:$J$7,4,FALSE),"")</f>
        <v>17589</v>
      </c>
      <c r="Z22" s="15">
        <f t="shared" si="5"/>
        <v>0</v>
      </c>
      <c r="AA22" s="22">
        <v>0</v>
      </c>
      <c r="AB22" s="16">
        <f>IFERROR(IF(AA22&gt;0,'Sewer Cost Data'!$K$5,0),"")</f>
        <v>0</v>
      </c>
      <c r="AC22" s="17">
        <f t="shared" si="6"/>
        <v>0</v>
      </c>
      <c r="AD22" s="134" t="s">
        <v>32</v>
      </c>
      <c r="AE22" s="15">
        <f>IF(B22&gt;150,IF(AD22="Yes",HLOOKUP(C22,'Sewer Cost Data'!$L$4:$S$5,2,FALSE)*'Sewer Project Data'!B22/150,0),IF(AD22="Yes",HLOOKUP(C22,'Sewer Cost Data'!$L$4:$S$5,2,FALSE),0))</f>
        <v>13458</v>
      </c>
      <c r="AF22" s="22">
        <v>0</v>
      </c>
      <c r="AG22" s="15">
        <f>IF(AF22&gt;0,IF(AF22&lt;10,'Sewer Cost Data'!$T$5,('Sewer Cost Data'!$T$5+('Sewer Cost Data'!$U$5+((AF22-10))*'Sewer Cost Data'!$U$5))),0)</f>
        <v>0</v>
      </c>
      <c r="AH22" s="22" t="s">
        <v>33</v>
      </c>
      <c r="AI22" s="15" t="b">
        <f>IF(AH22="Yes",B22*'Sewer Cost Data'!$V$5)</f>
        <v>0</v>
      </c>
      <c r="AJ22" s="18">
        <f t="shared" si="7"/>
        <v>13458</v>
      </c>
      <c r="AK22" s="19" t="str">
        <f t="shared" si="2"/>
        <v/>
      </c>
      <c r="AL22" s="18">
        <f t="shared" si="8"/>
        <v>13458</v>
      </c>
      <c r="AM22" s="19" t="str">
        <f t="shared" si="3"/>
        <v/>
      </c>
    </row>
    <row r="23" spans="1:39" x14ac:dyDescent="0.25">
      <c r="A23" s="22"/>
      <c r="B23" s="23">
        <v>0</v>
      </c>
      <c r="C23" s="156" t="s">
        <v>28</v>
      </c>
      <c r="D23" s="23" t="s">
        <v>29</v>
      </c>
      <c r="E23" s="23" t="s">
        <v>30</v>
      </c>
      <c r="F23" s="14">
        <f>IF(E23=Data!$A$38,VLOOKUP('Sewer Project Data'!C23,'Sewer Cost Data'!$A$5:$G$11,7,FALSE),IF(E23=Data!$A$37,IF(D23="0-16",VLOOKUP(C23,'Sewer Cost Data'!$A$5:$G$11,5,FALSE),VLOOKUP(C23,'Sewer Cost Data'!$A$5:$G$11,6,FALSE)),VLOOKUP('Sewer Project Data'!C23,'Sewer Cost Data'!$A$5:$E$11,5,FALSE)))</f>
        <v>188</v>
      </c>
      <c r="G23" s="95">
        <f>IF(E23=Data!$A$37,1,IF(E23=Data!$A$38,1,IF('Sewer Project Data'!E23=Data!$A$39,VLOOKUP(C23,'Sewer Cost Data'!$A$16:$E$22,5,FALSE),IF(E23=Data!$A$40,VLOOKUP('Sewer Project Data'!C23,'Sewer Cost Data'!$A$16:$F$22,6,FALSE),VLOOKUP('Sewer Project Data'!C23,'Sewer Cost Data'!$A$16:$G$22,7,FALSE)))))</f>
        <v>1</v>
      </c>
      <c r="H23" s="15">
        <f t="shared" si="0"/>
        <v>0</v>
      </c>
      <c r="I23" s="35" t="s">
        <v>34</v>
      </c>
      <c r="J23" s="23" t="s">
        <v>29</v>
      </c>
      <c r="K23" s="23" t="s">
        <v>30</v>
      </c>
      <c r="L23" s="14">
        <f>IF(K23=Data!$A$38,VLOOKUP('Sewer Project Data'!I23,'Sewer Cost Data'!$A$5:$G$12,7,FALSE),IF(K23=Data!$A$37,IF(J23="0-16",VLOOKUP(I23,'Sewer Cost Data'!$A$5:$G$12,5,FALSE),VLOOKUP(I23,'Sewer Cost Data'!$A$5:$G$12,6,FALSE)),VLOOKUP('Sewer Project Data'!I23,'Sewer Cost Data'!$A$5:$E$12,5,FALSE)))</f>
        <v>208</v>
      </c>
      <c r="M23" s="27">
        <f>IF(K23=Data!$A$37,1,IF(K23=Data!$A$38,1,IF('Sewer Project Data'!K23=Data!$A$39,VLOOKUP(I23,'Sewer Cost Data'!$A$16:$E$22,5,FALSE),IF(K23=Data!$A$40,VLOOKUP('Sewer Project Data'!I23,'Sewer Cost Data'!$A$16:$F$22,6,FALSE),VLOOKUP('Sewer Project Data'!I23,'Sewer Cost Data'!$A$16:$G$22,7,FALSE)))))</f>
        <v>1</v>
      </c>
      <c r="N23" s="15">
        <f t="shared" si="1"/>
        <v>0</v>
      </c>
      <c r="O23" s="22">
        <v>0</v>
      </c>
      <c r="P23" s="23" t="s">
        <v>29</v>
      </c>
      <c r="Q23" s="14">
        <f>IFERROR(HLOOKUP(P23,'Sewer Cost Data'!$I$4:$J$7,2,FALSE),"")</f>
        <v>5082</v>
      </c>
      <c r="R23" s="15">
        <f>IFERROR(Q23*O23,"")</f>
        <v>0</v>
      </c>
      <c r="S23" s="22">
        <v>0</v>
      </c>
      <c r="T23" s="23" t="s">
        <v>29</v>
      </c>
      <c r="U23" s="14">
        <f>IFERROR(HLOOKUP(T23,'Sewer Cost Data'!$I$4:$J$7,3,FALSE),"")</f>
        <v>11098</v>
      </c>
      <c r="V23" s="15">
        <f>IFERROR(U23*S23,"")</f>
        <v>0</v>
      </c>
      <c r="W23" s="22">
        <v>0</v>
      </c>
      <c r="X23" s="23" t="s">
        <v>29</v>
      </c>
      <c r="Y23" s="14">
        <f>IFERROR(HLOOKUP(X23,'Sewer Cost Data'!$I$4:$J$7,4,FALSE),"")</f>
        <v>17589</v>
      </c>
      <c r="Z23" s="15">
        <f>IFERROR(Y23*W23,"")</f>
        <v>0</v>
      </c>
      <c r="AA23" s="22">
        <v>0</v>
      </c>
      <c r="AB23" s="16">
        <f>IFERROR(IF(AA23&gt;0,'Sewer Cost Data'!$K$5,0),"")</f>
        <v>0</v>
      </c>
      <c r="AC23" s="17">
        <f>IFERROR(AB23*AA23,"")</f>
        <v>0</v>
      </c>
      <c r="AD23" s="134" t="s">
        <v>32</v>
      </c>
      <c r="AE23" s="15">
        <f>IF(B23&gt;150,IF(AD23="Yes",HLOOKUP(C23,'Sewer Cost Data'!$L$4:$S$5,2,FALSE)*'Sewer Project Data'!B23/150,0),IF(AD23="Yes",HLOOKUP(C23,'Sewer Cost Data'!$L$4:$S$5,2,FALSE),0))</f>
        <v>13458</v>
      </c>
      <c r="AF23" s="22">
        <v>0</v>
      </c>
      <c r="AG23" s="15">
        <f>IF(AF23&gt;0,IF(AF23&lt;10,'Sewer Cost Data'!$T$5,('Sewer Cost Data'!$T$5+('Sewer Cost Data'!$U$5+((AF23-10))*'Sewer Cost Data'!$U$5))),0)</f>
        <v>0</v>
      </c>
      <c r="AH23" s="22" t="s">
        <v>33</v>
      </c>
      <c r="AI23" s="15" t="b">
        <f>IF(AH23="Yes",B23*'Sewer Cost Data'!$V$5)</f>
        <v>0</v>
      </c>
      <c r="AJ23" s="18">
        <f>IFERROR(H23+R23+V23+Z23+AC23+AE23+AG23+AI23,"")</f>
        <v>13458</v>
      </c>
      <c r="AK23" s="19" t="str">
        <f t="shared" si="2"/>
        <v/>
      </c>
      <c r="AL23" s="18">
        <f>IFERROR(N23+R23+V23+Z23+AC23+AE23+AG23+AI23,"")</f>
        <v>13458</v>
      </c>
      <c r="AM23" s="19" t="str">
        <f t="shared" si="3"/>
        <v/>
      </c>
    </row>
    <row r="24" spans="1:39" x14ac:dyDescent="0.25">
      <c r="A24" s="22"/>
      <c r="B24" s="23">
        <v>0</v>
      </c>
      <c r="C24" s="156" t="s">
        <v>28</v>
      </c>
      <c r="D24" s="23" t="s">
        <v>29</v>
      </c>
      <c r="E24" s="23" t="s">
        <v>30</v>
      </c>
      <c r="F24" s="14">
        <f>IF(E24=Data!$A$38,VLOOKUP('Sewer Project Data'!C24,'Sewer Cost Data'!$A$5:$G$11,7,FALSE),IF(E24=Data!$A$37,IF(D24="0-16",VLOOKUP(C24,'Sewer Cost Data'!$A$5:$G$11,5,FALSE),VLOOKUP(C24,'Sewer Cost Data'!$A$5:$G$11,6,FALSE)),VLOOKUP('Sewer Project Data'!C24,'Sewer Cost Data'!$A$5:$E$11,5,FALSE)))</f>
        <v>188</v>
      </c>
      <c r="G24" s="95">
        <f>IF(E24=Data!$A$37,1,IF(E24=Data!$A$38,1,IF('Sewer Project Data'!E24=Data!$A$39,VLOOKUP(C24,'Sewer Cost Data'!$A$16:$E$22,5,FALSE),IF(E24=Data!$A$40,VLOOKUP('Sewer Project Data'!C24,'Sewer Cost Data'!$A$16:$F$22,6,FALSE),VLOOKUP('Sewer Project Data'!C24,'Sewer Cost Data'!$A$16:$G$22,7,FALSE)))))</f>
        <v>1</v>
      </c>
      <c r="H24" s="15">
        <f t="shared" si="0"/>
        <v>0</v>
      </c>
      <c r="I24" s="35" t="s">
        <v>34</v>
      </c>
      <c r="J24" s="23" t="s">
        <v>29</v>
      </c>
      <c r="K24" s="23" t="s">
        <v>30</v>
      </c>
      <c r="L24" s="14">
        <f>IF(K24=Data!$A$38,VLOOKUP('Sewer Project Data'!I24,'Sewer Cost Data'!$A$5:$G$12,7,FALSE),IF(K24=Data!$A$37,IF(J24="0-16",VLOOKUP(I24,'Sewer Cost Data'!$A$5:$G$12,5,FALSE),VLOOKUP(I24,'Sewer Cost Data'!$A$5:$G$12,6,FALSE)),VLOOKUP('Sewer Project Data'!I24,'Sewer Cost Data'!$A$5:$E$12,5,FALSE)))</f>
        <v>208</v>
      </c>
      <c r="M24" s="27">
        <f>IF(K24=Data!$A$37,1,IF(K24=Data!$A$38,1,IF('Sewer Project Data'!K24=Data!$A$39,VLOOKUP(I24,'Sewer Cost Data'!$A$16:$E$22,5,FALSE),IF(K24=Data!$A$40,VLOOKUP('Sewer Project Data'!I24,'Sewer Cost Data'!$A$16:$F$22,6,FALSE),VLOOKUP('Sewer Project Data'!I24,'Sewer Cost Data'!$A$16:$G$22,7,FALSE)))))</f>
        <v>1</v>
      </c>
      <c r="N24" s="15">
        <f t="shared" si="1"/>
        <v>0</v>
      </c>
      <c r="O24" s="22">
        <v>0</v>
      </c>
      <c r="P24" s="23" t="s">
        <v>29</v>
      </c>
      <c r="Q24" s="14">
        <f>IFERROR(HLOOKUP(P24,'Sewer Cost Data'!$I$4:$J$7,2,FALSE),"")</f>
        <v>5082</v>
      </c>
      <c r="R24" s="15">
        <f>IFERROR(Q24*O24,"")</f>
        <v>0</v>
      </c>
      <c r="S24" s="22">
        <v>0</v>
      </c>
      <c r="T24" s="23" t="s">
        <v>29</v>
      </c>
      <c r="U24" s="14">
        <f>IFERROR(HLOOKUP(T24,'Sewer Cost Data'!$I$4:$J$7,3,FALSE),"")</f>
        <v>11098</v>
      </c>
      <c r="V24" s="15">
        <f>IFERROR(U24*S24,"")</f>
        <v>0</v>
      </c>
      <c r="W24" s="22">
        <v>0</v>
      </c>
      <c r="X24" s="23" t="s">
        <v>29</v>
      </c>
      <c r="Y24" s="14">
        <f>IFERROR(HLOOKUP(X24,'Sewer Cost Data'!$I$4:$J$7,4,FALSE),"")</f>
        <v>17589</v>
      </c>
      <c r="Z24" s="15">
        <f>IFERROR(Y24*W24,"")</f>
        <v>0</v>
      </c>
      <c r="AA24" s="22">
        <v>0</v>
      </c>
      <c r="AB24" s="16">
        <f>IFERROR(IF(AA24&gt;0,'Sewer Cost Data'!$K$5,0),"")</f>
        <v>0</v>
      </c>
      <c r="AC24" s="17">
        <f>IFERROR(AB24*AA24,"")</f>
        <v>0</v>
      </c>
      <c r="AD24" s="134" t="s">
        <v>32</v>
      </c>
      <c r="AE24" s="15">
        <f>IF(B24&gt;150,IF(AD24="Yes",HLOOKUP(C24,'Sewer Cost Data'!$L$4:$S$5,2,FALSE)*'Sewer Project Data'!B24/150,0),IF(AD24="Yes",HLOOKUP(C24,'Sewer Cost Data'!$L$4:$S$5,2,FALSE),0))</f>
        <v>13458</v>
      </c>
      <c r="AF24" s="22">
        <v>0</v>
      </c>
      <c r="AG24" s="15">
        <f>IF(AF24&gt;0,IF(AF24&lt;10,'Sewer Cost Data'!$T$5,('Sewer Cost Data'!$T$5+('Sewer Cost Data'!$U$5+((AF24-10))*'Sewer Cost Data'!$U$5))),0)</f>
        <v>0</v>
      </c>
      <c r="AH24" s="22" t="s">
        <v>33</v>
      </c>
      <c r="AI24" s="15" t="b">
        <f>IF(AH24="Yes",B24*'Sewer Cost Data'!$V$5)</f>
        <v>0</v>
      </c>
      <c r="AJ24" s="18">
        <f>IFERROR(H24+R24+V24+Z24+AC24+AE24+AG24+AI24,"")</f>
        <v>13458</v>
      </c>
      <c r="AK24" s="19" t="str">
        <f t="shared" si="2"/>
        <v/>
      </c>
      <c r="AL24" s="18">
        <f>IFERROR(N24+R24+V24+Z24+AC24+AE24+AG24+AI24,"")</f>
        <v>13458</v>
      </c>
      <c r="AM24" s="19" t="str">
        <f t="shared" si="3"/>
        <v/>
      </c>
    </row>
    <row r="25" spans="1:39" x14ac:dyDescent="0.25">
      <c r="A25" s="22"/>
      <c r="B25" s="23">
        <v>0</v>
      </c>
      <c r="C25" s="156" t="s">
        <v>28</v>
      </c>
      <c r="D25" s="23" t="s">
        <v>29</v>
      </c>
      <c r="E25" s="23" t="s">
        <v>30</v>
      </c>
      <c r="F25" s="14">
        <f>IF(E25=Data!$A$38,VLOOKUP('Sewer Project Data'!C25,'Sewer Cost Data'!$A$5:$G$11,7,FALSE),IF(E25=Data!$A$37,IF(D25="0-16",VLOOKUP(C25,'Sewer Cost Data'!$A$5:$G$11,5,FALSE),VLOOKUP(C25,'Sewer Cost Data'!$A$5:$G$11,6,FALSE)),VLOOKUP('Sewer Project Data'!C25,'Sewer Cost Data'!$A$5:$E$11,5,FALSE)))</f>
        <v>188</v>
      </c>
      <c r="G25" s="95">
        <f>IF(E25=Data!$A$37,1,IF(E25=Data!$A$38,1,IF('Sewer Project Data'!E25=Data!$A$39,VLOOKUP(C25,'Sewer Cost Data'!$A$16:$E$22,5,FALSE),IF(E25=Data!$A$40,VLOOKUP('Sewer Project Data'!C25,'Sewer Cost Data'!$A$16:$F$22,6,FALSE),VLOOKUP('Sewer Project Data'!C25,'Sewer Cost Data'!$A$16:$G$22,7,FALSE)))))</f>
        <v>1</v>
      </c>
      <c r="H25" s="15">
        <f t="shared" si="0"/>
        <v>0</v>
      </c>
      <c r="I25" s="35" t="s">
        <v>34</v>
      </c>
      <c r="J25" s="23" t="s">
        <v>29</v>
      </c>
      <c r="K25" s="23" t="s">
        <v>30</v>
      </c>
      <c r="L25" s="14">
        <f>IF(K25=Data!$A$38,VLOOKUP('Sewer Project Data'!I25,'Sewer Cost Data'!$A$5:$G$12,7,FALSE),IF(K25=Data!$A$37,IF(J25="0-16",VLOOKUP(I25,'Sewer Cost Data'!$A$5:$G$12,5,FALSE),VLOOKUP(I25,'Sewer Cost Data'!$A$5:$G$12,6,FALSE)),VLOOKUP('Sewer Project Data'!I25,'Sewer Cost Data'!$A$5:$E$12,5,FALSE)))</f>
        <v>208</v>
      </c>
      <c r="M25" s="27">
        <f>IF(K25=Data!$A$37,1,IF(K25=Data!$A$38,1,IF('Sewer Project Data'!K25=Data!$A$39,VLOOKUP(I25,'Sewer Cost Data'!$A$16:$E$22,5,FALSE),IF(K25=Data!$A$40,VLOOKUP('Sewer Project Data'!I25,'Sewer Cost Data'!$A$16:$F$22,6,FALSE),VLOOKUP('Sewer Project Data'!I25,'Sewer Cost Data'!$A$16:$G$22,7,FALSE)))))</f>
        <v>1</v>
      </c>
      <c r="N25" s="15">
        <f t="shared" si="1"/>
        <v>0</v>
      </c>
      <c r="O25" s="22">
        <v>0</v>
      </c>
      <c r="P25" s="23" t="s">
        <v>29</v>
      </c>
      <c r="Q25" s="14">
        <f>IFERROR(HLOOKUP(P25,'Sewer Cost Data'!$I$4:$J$7,2,FALSE),"")</f>
        <v>5082</v>
      </c>
      <c r="R25" s="15">
        <f>IFERROR(Q25*O25,"")</f>
        <v>0</v>
      </c>
      <c r="S25" s="22">
        <v>0</v>
      </c>
      <c r="T25" s="23" t="s">
        <v>29</v>
      </c>
      <c r="U25" s="14">
        <f>IFERROR(HLOOKUP(T25,'Sewer Cost Data'!$I$4:$J$7,3,FALSE),"")</f>
        <v>11098</v>
      </c>
      <c r="V25" s="15">
        <f>IFERROR(U25*S25,"")</f>
        <v>0</v>
      </c>
      <c r="W25" s="22">
        <v>0</v>
      </c>
      <c r="X25" s="23" t="s">
        <v>29</v>
      </c>
      <c r="Y25" s="14">
        <f>IFERROR(HLOOKUP(X25,'Sewer Cost Data'!$I$4:$J$7,4,FALSE),"")</f>
        <v>17589</v>
      </c>
      <c r="Z25" s="15">
        <f>IFERROR(Y25*W25,"")</f>
        <v>0</v>
      </c>
      <c r="AA25" s="22">
        <v>0</v>
      </c>
      <c r="AB25" s="16">
        <f>IFERROR(IF(AA25&gt;0,'Sewer Cost Data'!$K$5,0),"")</f>
        <v>0</v>
      </c>
      <c r="AC25" s="17">
        <f>IFERROR(AB25*AA25,"")</f>
        <v>0</v>
      </c>
      <c r="AD25" s="134" t="s">
        <v>32</v>
      </c>
      <c r="AE25" s="15">
        <f>IF(B25&gt;150,IF(AD25="Yes",HLOOKUP(C25,'Sewer Cost Data'!$L$4:$S$5,2,FALSE)*'Sewer Project Data'!B25/150,0),IF(AD25="Yes",HLOOKUP(C25,'Sewer Cost Data'!$L$4:$S$5,2,FALSE),0))</f>
        <v>13458</v>
      </c>
      <c r="AF25" s="22">
        <v>0</v>
      </c>
      <c r="AG25" s="15">
        <f>IF(AF25&gt;0,IF(AF25&lt;10,'Sewer Cost Data'!$T$5,('Sewer Cost Data'!$T$5+('Sewer Cost Data'!$U$5+((AF25-10))*'Sewer Cost Data'!$U$5))),0)</f>
        <v>0</v>
      </c>
      <c r="AH25" s="22" t="s">
        <v>33</v>
      </c>
      <c r="AI25" s="15" t="b">
        <f>IF(AH25="Yes",B25*'Sewer Cost Data'!$V$5)</f>
        <v>0</v>
      </c>
      <c r="AJ25" s="18">
        <f>IFERROR(H25+R25+V25+Z25+AC25+AE25+AG25+AI25,"")</f>
        <v>13458</v>
      </c>
      <c r="AK25" s="19" t="str">
        <f t="shared" si="2"/>
        <v/>
      </c>
      <c r="AL25" s="18">
        <f>IFERROR(N25+R25+V25+Z25+AC25+AE25+AG25+AI25,"")</f>
        <v>13458</v>
      </c>
      <c r="AM25" s="19" t="str">
        <f t="shared" si="3"/>
        <v/>
      </c>
    </row>
    <row r="26" spans="1:39" x14ac:dyDescent="0.25">
      <c r="A26" s="22"/>
      <c r="B26" s="23">
        <v>0</v>
      </c>
      <c r="C26" s="156" t="s">
        <v>28</v>
      </c>
      <c r="D26" s="23" t="s">
        <v>29</v>
      </c>
      <c r="E26" s="23" t="s">
        <v>30</v>
      </c>
      <c r="F26" s="14">
        <f>IF(E26=Data!$A$38,VLOOKUP('Sewer Project Data'!C26,'Sewer Cost Data'!$A$5:$G$11,7,FALSE),IF(E26=Data!$A$37,IF(D26="0-16",VLOOKUP(C26,'Sewer Cost Data'!$A$5:$G$11,5,FALSE),VLOOKUP(C26,'Sewer Cost Data'!$A$5:$G$11,6,FALSE)),VLOOKUP('Sewer Project Data'!C26,'Sewer Cost Data'!$A$5:$E$11,5,FALSE)))</f>
        <v>188</v>
      </c>
      <c r="G26" s="95">
        <f>IF(E26=Data!$A$37,1,IF(E26=Data!$A$38,1,IF('Sewer Project Data'!E26=Data!$A$39,VLOOKUP(C26,'Sewer Cost Data'!$A$16:$E$22,5,FALSE),IF(E26=Data!$A$40,VLOOKUP('Sewer Project Data'!C26,'Sewer Cost Data'!$A$16:$F$22,6,FALSE),VLOOKUP('Sewer Project Data'!C26,'Sewer Cost Data'!$A$16:$G$22,7,FALSE)))))</f>
        <v>1</v>
      </c>
      <c r="H26" s="15">
        <f t="shared" si="0"/>
        <v>0</v>
      </c>
      <c r="I26" s="35" t="s">
        <v>34</v>
      </c>
      <c r="J26" s="23" t="s">
        <v>29</v>
      </c>
      <c r="K26" s="23" t="s">
        <v>30</v>
      </c>
      <c r="L26" s="14">
        <f>IF(K26=Data!$A$38,VLOOKUP('Sewer Project Data'!I26,'Sewer Cost Data'!$A$5:$G$12,7,FALSE),IF(K26=Data!$A$37,IF(J26="0-16",VLOOKUP(I26,'Sewer Cost Data'!$A$5:$G$12,5,FALSE),VLOOKUP(I26,'Sewer Cost Data'!$A$5:$G$12,6,FALSE)),VLOOKUP('Sewer Project Data'!I26,'Sewer Cost Data'!$A$5:$E$12,5,FALSE)))</f>
        <v>208</v>
      </c>
      <c r="M26" s="27">
        <f>IF(K26=Data!$A$37,1,IF(K26=Data!$A$38,1,IF('Sewer Project Data'!K26=Data!$A$39,VLOOKUP(I26,'Sewer Cost Data'!$A$16:$E$22,5,FALSE),IF(K26=Data!$A$40,VLOOKUP('Sewer Project Data'!I26,'Sewer Cost Data'!$A$16:$F$22,6,FALSE),VLOOKUP('Sewer Project Data'!I26,'Sewer Cost Data'!$A$16:$G$22,7,FALSE)))))</f>
        <v>1</v>
      </c>
      <c r="N26" s="15">
        <f t="shared" si="1"/>
        <v>0</v>
      </c>
      <c r="O26" s="22">
        <v>0</v>
      </c>
      <c r="P26" s="23" t="s">
        <v>29</v>
      </c>
      <c r="Q26" s="14">
        <f>IFERROR(HLOOKUP(P26,'Sewer Cost Data'!$I$4:$J$7,2,FALSE),"")</f>
        <v>5082</v>
      </c>
      <c r="R26" s="15">
        <f>IFERROR(Q26*O26,"")</f>
        <v>0</v>
      </c>
      <c r="S26" s="22">
        <v>0</v>
      </c>
      <c r="T26" s="23" t="s">
        <v>29</v>
      </c>
      <c r="U26" s="14">
        <f>IFERROR(HLOOKUP(T26,'Sewer Cost Data'!$I$4:$J$7,3,FALSE),"")</f>
        <v>11098</v>
      </c>
      <c r="V26" s="15">
        <f>IFERROR(U26*S26,"")</f>
        <v>0</v>
      </c>
      <c r="W26" s="22">
        <v>0</v>
      </c>
      <c r="X26" s="23" t="s">
        <v>29</v>
      </c>
      <c r="Y26" s="14">
        <f>IFERROR(HLOOKUP(X26,'Sewer Cost Data'!$I$4:$J$7,4,FALSE),"")</f>
        <v>17589</v>
      </c>
      <c r="Z26" s="15">
        <f>IFERROR(Y26*W26,"")</f>
        <v>0</v>
      </c>
      <c r="AA26" s="22">
        <v>0</v>
      </c>
      <c r="AB26" s="16">
        <f>IFERROR(IF(AA26&gt;0,'Sewer Cost Data'!$K$5,0),"")</f>
        <v>0</v>
      </c>
      <c r="AC26" s="17">
        <f>IFERROR(AB26*AA26,"")</f>
        <v>0</v>
      </c>
      <c r="AD26" s="134" t="s">
        <v>32</v>
      </c>
      <c r="AE26" s="15">
        <f>IF(B26&gt;150,IF(AD26="Yes",HLOOKUP(C26,'Sewer Cost Data'!$L$4:$S$5,2,FALSE)*'Sewer Project Data'!B26/150,0),IF(AD26="Yes",HLOOKUP(C26,'Sewer Cost Data'!$L$4:$S$5,2,FALSE),0))</f>
        <v>13458</v>
      </c>
      <c r="AF26" s="22">
        <v>0</v>
      </c>
      <c r="AG26" s="15">
        <f>IF(AF26&gt;0,IF(AF26&lt;10,'Sewer Cost Data'!$T$5,('Sewer Cost Data'!$T$5+('Sewer Cost Data'!$U$5+((AF26-10))*'Sewer Cost Data'!$U$5))),0)</f>
        <v>0</v>
      </c>
      <c r="AH26" s="22" t="s">
        <v>33</v>
      </c>
      <c r="AI26" s="15" t="b">
        <f>IF(AH26="Yes",B26*'Sewer Cost Data'!$V$5)</f>
        <v>0</v>
      </c>
      <c r="AJ26" s="18">
        <f>IFERROR(H26+R26+V26+Z26+AC26+AE26+AG26+AI26,"")</f>
        <v>13458</v>
      </c>
      <c r="AK26" s="19" t="str">
        <f t="shared" si="2"/>
        <v/>
      </c>
      <c r="AL26" s="18">
        <f>IFERROR(N26+R26+V26+Z26+AC26+AE26+AG26+AI26,"")</f>
        <v>13458</v>
      </c>
      <c r="AM26" s="19" t="str">
        <f t="shared" si="3"/>
        <v/>
      </c>
    </row>
    <row r="27" spans="1:39" x14ac:dyDescent="0.25">
      <c r="A27" s="22"/>
      <c r="B27" s="23">
        <v>0</v>
      </c>
      <c r="C27" s="156" t="s">
        <v>28</v>
      </c>
      <c r="D27" s="23" t="s">
        <v>29</v>
      </c>
      <c r="E27" s="23" t="s">
        <v>30</v>
      </c>
      <c r="F27" s="14">
        <f>IF(E27=Data!$A$38,VLOOKUP('Sewer Project Data'!C27,'Sewer Cost Data'!$A$5:$G$11,7,FALSE),IF(E27=Data!$A$37,IF(D27="0-16",VLOOKUP(C27,'Sewer Cost Data'!$A$5:$G$11,5,FALSE),VLOOKUP(C27,'Sewer Cost Data'!$A$5:$G$11,6,FALSE)),VLOOKUP('Sewer Project Data'!C27,'Sewer Cost Data'!$A$5:$E$11,5,FALSE)))</f>
        <v>188</v>
      </c>
      <c r="G27" s="95">
        <f>IF(E27=Data!$A$37,1,IF(E27=Data!$A$38,1,IF('Sewer Project Data'!E27=Data!$A$39,VLOOKUP(C27,'Sewer Cost Data'!$A$16:$E$22,5,FALSE),IF(E27=Data!$A$40,VLOOKUP('Sewer Project Data'!C27,'Sewer Cost Data'!$A$16:$F$22,6,FALSE),VLOOKUP('Sewer Project Data'!C27,'Sewer Cost Data'!$A$16:$G$22,7,FALSE)))))</f>
        <v>1</v>
      </c>
      <c r="H27" s="15">
        <f t="shared" si="0"/>
        <v>0</v>
      </c>
      <c r="I27" s="35" t="s">
        <v>34</v>
      </c>
      <c r="J27" s="23" t="s">
        <v>29</v>
      </c>
      <c r="K27" s="23" t="s">
        <v>30</v>
      </c>
      <c r="L27" s="14">
        <f>IF(K27=Data!$A$38,VLOOKUP('Sewer Project Data'!I27,'Sewer Cost Data'!$A$5:$G$12,7,FALSE),IF(K27=Data!$A$37,IF(J27="0-16",VLOOKUP(I27,'Sewer Cost Data'!$A$5:$G$12,5,FALSE),VLOOKUP(I27,'Sewer Cost Data'!$A$5:$G$12,6,FALSE)),VLOOKUP('Sewer Project Data'!I27,'Sewer Cost Data'!$A$5:$E$12,5,FALSE)))</f>
        <v>208</v>
      </c>
      <c r="M27" s="27">
        <f>IF(K27=Data!$A$37,1,IF(K27=Data!$A$38,1,IF('Sewer Project Data'!K27=Data!$A$39,VLOOKUP(I27,'Sewer Cost Data'!$A$16:$E$22,5,FALSE),IF(K27=Data!$A$40,VLOOKUP('Sewer Project Data'!I27,'Sewer Cost Data'!$A$16:$F$22,6,FALSE),VLOOKUP('Sewer Project Data'!I27,'Sewer Cost Data'!$A$16:$G$22,7,FALSE)))))</f>
        <v>1</v>
      </c>
      <c r="N27" s="15">
        <f t="shared" si="1"/>
        <v>0</v>
      </c>
      <c r="O27" s="22">
        <v>0</v>
      </c>
      <c r="P27" s="23" t="s">
        <v>29</v>
      </c>
      <c r="Q27" s="14">
        <f>IFERROR(HLOOKUP(P27,'Sewer Cost Data'!$I$4:$J$7,2,FALSE),"")</f>
        <v>5082</v>
      </c>
      <c r="R27" s="15">
        <f>IFERROR(Q27*O27,"")</f>
        <v>0</v>
      </c>
      <c r="S27" s="22">
        <v>0</v>
      </c>
      <c r="T27" s="23" t="s">
        <v>29</v>
      </c>
      <c r="U27" s="14">
        <f>IFERROR(HLOOKUP(T27,'Sewer Cost Data'!$I$4:$J$7,3,FALSE),"")</f>
        <v>11098</v>
      </c>
      <c r="V27" s="15">
        <f>IFERROR(U27*S27,"")</f>
        <v>0</v>
      </c>
      <c r="W27" s="22">
        <v>0</v>
      </c>
      <c r="X27" s="23" t="s">
        <v>29</v>
      </c>
      <c r="Y27" s="14">
        <f>IFERROR(HLOOKUP(X27,'Sewer Cost Data'!$I$4:$J$7,4,FALSE),"")</f>
        <v>17589</v>
      </c>
      <c r="Z27" s="15">
        <f>IFERROR(Y27*W27,"")</f>
        <v>0</v>
      </c>
      <c r="AA27" s="22">
        <v>0</v>
      </c>
      <c r="AB27" s="16">
        <f>IFERROR(IF(AA27&gt;0,'Sewer Cost Data'!$K$5,0),"")</f>
        <v>0</v>
      </c>
      <c r="AC27" s="17">
        <f>IFERROR(AB27*AA27,"")</f>
        <v>0</v>
      </c>
      <c r="AD27" s="134" t="s">
        <v>32</v>
      </c>
      <c r="AE27" s="15">
        <f>IF(B27&gt;150,IF(AD27="Yes",HLOOKUP(C27,'Sewer Cost Data'!$L$4:$S$5,2,FALSE)*'Sewer Project Data'!B27/150,0),IF(AD27="Yes",HLOOKUP(C27,'Sewer Cost Data'!$L$4:$S$5,2,FALSE),0))</f>
        <v>13458</v>
      </c>
      <c r="AF27" s="22">
        <v>0</v>
      </c>
      <c r="AG27" s="15">
        <f>IF(AF27&gt;0,IF(AF27&lt;10,'Sewer Cost Data'!$T$5,('Sewer Cost Data'!$T$5+('Sewer Cost Data'!$U$5+((AF27-10))*'Sewer Cost Data'!$U$5))),0)</f>
        <v>0</v>
      </c>
      <c r="AH27" s="22" t="s">
        <v>33</v>
      </c>
      <c r="AI27" s="15" t="b">
        <f>IF(AH27="Yes",B27*'Sewer Cost Data'!$V$5)</f>
        <v>0</v>
      </c>
      <c r="AJ27" s="18">
        <f>IFERROR(H27+R27+V27+Z27+AC27+AE27+AG27+AI27,"")</f>
        <v>13458</v>
      </c>
      <c r="AK27" s="19" t="str">
        <f t="shared" si="2"/>
        <v/>
      </c>
      <c r="AL27" s="18">
        <f>IFERROR(N27+R27+V27+Z27+AC27+AE27+AG27+AI27,"")</f>
        <v>13458</v>
      </c>
      <c r="AM27" s="19" t="str">
        <f t="shared" si="3"/>
        <v/>
      </c>
    </row>
    <row r="28" spans="1:39" x14ac:dyDescent="0.25">
      <c r="C28" s="9"/>
      <c r="E28" s="9"/>
      <c r="F28" s="9"/>
      <c r="G28" s="41"/>
      <c r="H28" s="9"/>
      <c r="I28" s="9"/>
      <c r="AL28" s="40">
        <f>AL25-'Reimbursement Calculator'!U64</f>
        <v>13458</v>
      </c>
    </row>
    <row r="29" spans="1:39" x14ac:dyDescent="0.25">
      <c r="B29" s="1"/>
      <c r="D29" s="1"/>
      <c r="I29" s="26"/>
    </row>
    <row r="30" spans="1:39" x14ac:dyDescent="0.25">
      <c r="B30" s="1"/>
      <c r="D30" s="1"/>
      <c r="I30" s="26"/>
    </row>
    <row r="31" spans="1:39" x14ac:dyDescent="0.25">
      <c r="B31" s="1"/>
      <c r="D31" s="1"/>
      <c r="I31" s="26"/>
    </row>
    <row r="32" spans="1:39" x14ac:dyDescent="0.25">
      <c r="B32" s="1"/>
      <c r="D32" s="1"/>
      <c r="I32" s="26"/>
    </row>
    <row r="33" spans="2:9" x14ac:dyDescent="0.25">
      <c r="B33" s="1"/>
      <c r="D33" s="1"/>
      <c r="I33" s="26"/>
    </row>
    <row r="34" spans="2:9" x14ac:dyDescent="0.25">
      <c r="B34" s="1"/>
      <c r="D34" s="1"/>
      <c r="I34" s="26"/>
    </row>
    <row r="35" spans="2:9" x14ac:dyDescent="0.25">
      <c r="B35" s="1"/>
      <c r="D35" s="1"/>
      <c r="I35" s="26"/>
    </row>
    <row r="36" spans="2:9" x14ac:dyDescent="0.25">
      <c r="B36" s="1"/>
      <c r="D36" s="1"/>
      <c r="I36" s="26"/>
    </row>
    <row r="37" spans="2:9" x14ac:dyDescent="0.25">
      <c r="B37" s="1"/>
      <c r="D37" s="1"/>
      <c r="I37" s="26"/>
    </row>
    <row r="38" spans="2:9" x14ac:dyDescent="0.25">
      <c r="B38" s="1"/>
      <c r="D38" s="1"/>
      <c r="I38" s="26"/>
    </row>
    <row r="39" spans="2:9" x14ac:dyDescent="0.25">
      <c r="B39" s="1"/>
      <c r="D39" s="1"/>
      <c r="I39" s="26"/>
    </row>
    <row r="40" spans="2:9" x14ac:dyDescent="0.25">
      <c r="B40" s="1"/>
      <c r="D40" s="1"/>
      <c r="I40" s="26"/>
    </row>
    <row r="41" spans="2:9" x14ac:dyDescent="0.25">
      <c r="B41" s="1"/>
      <c r="D41" s="1"/>
      <c r="I41" s="26"/>
    </row>
    <row r="42" spans="2:9" x14ac:dyDescent="0.25">
      <c r="B42" s="1"/>
      <c r="D42" s="1"/>
      <c r="I42" s="26"/>
    </row>
    <row r="43" spans="2:9" x14ac:dyDescent="0.25">
      <c r="B43" s="1"/>
      <c r="D43" s="1"/>
      <c r="I43" s="26"/>
    </row>
    <row r="44" spans="2:9" x14ac:dyDescent="0.25">
      <c r="B44" s="1"/>
      <c r="D44" s="1"/>
      <c r="I44" s="26"/>
    </row>
    <row r="45" spans="2:9" x14ac:dyDescent="0.25">
      <c r="B45" s="1"/>
      <c r="D45" s="1"/>
      <c r="I45" s="26"/>
    </row>
    <row r="46" spans="2:9" x14ac:dyDescent="0.25">
      <c r="B46" s="1"/>
      <c r="D46" s="1"/>
      <c r="I46" s="26"/>
    </row>
    <row r="47" spans="2:9" x14ac:dyDescent="0.25">
      <c r="B47" s="1"/>
      <c r="D47" s="1"/>
      <c r="I47" s="26"/>
    </row>
    <row r="48" spans="2:9" x14ac:dyDescent="0.25">
      <c r="B48" s="1"/>
      <c r="D48" s="1"/>
      <c r="I48" s="26"/>
    </row>
    <row r="49" spans="2:9" x14ac:dyDescent="0.25">
      <c r="B49" s="1"/>
      <c r="D49" s="1"/>
      <c r="I49" s="26"/>
    </row>
    <row r="50" spans="2:9" x14ac:dyDescent="0.25">
      <c r="B50" s="1"/>
      <c r="D50" s="1"/>
      <c r="I50" s="26"/>
    </row>
    <row r="51" spans="2:9" x14ac:dyDescent="0.25">
      <c r="B51" s="1"/>
      <c r="D51" s="1"/>
      <c r="I51" s="26"/>
    </row>
    <row r="52" spans="2:9" x14ac:dyDescent="0.25">
      <c r="B52" s="1"/>
      <c r="D52" s="1"/>
      <c r="I52" s="26"/>
    </row>
  </sheetData>
  <sheetProtection algorithmName="SHA-512" hashValue="MawRBq5NpV2MtESqFhi3bCpUMgsEifDU/qG//MoC2XtugGKrnIGZYMUYYLDw7bsLMWvTq/EN+fJZ662FMtg+3g==" saltValue="YDC1rsEBXueIFhG0E2IqUw==" spinCount="100000" sheet="1" formatCells="0" formatColumns="0" formatRows="0"/>
  <mergeCells count="11">
    <mergeCell ref="AL1:AM1"/>
    <mergeCell ref="A1:H1"/>
    <mergeCell ref="I1:N1"/>
    <mergeCell ref="O1:R1"/>
    <mergeCell ref="S1:V1"/>
    <mergeCell ref="W1:Z1"/>
    <mergeCell ref="AA1:AC1"/>
    <mergeCell ref="AH1:AI1"/>
    <mergeCell ref="AD1:AE1"/>
    <mergeCell ref="AF1:AG1"/>
    <mergeCell ref="AJ1:AK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D8BD3E4C-2FA6-4AF4-AE32-0AEF87F267B7}">
          <x14:formula1>
            <xm:f>Data!$A$58:$A$59</xm:f>
          </x14:formula1>
          <xm:sqref>AH3:AH27</xm:sqref>
        </x14:dataValidation>
        <x14:dataValidation type="list" allowBlank="1" showInputMessage="1" showErrorMessage="1" xr:uid="{7DE94803-512E-4FE2-B878-73216CECB86B}">
          <x14:formula1>
            <xm:f>'Sewer Cost Data'!$C$4:$D$4</xm:f>
          </x14:formula1>
          <xm:sqref>D3:D27 J3:J27</xm:sqref>
        </x14:dataValidation>
        <x14:dataValidation type="list" allowBlank="1" showInputMessage="1" showErrorMessage="1" xr:uid="{D7A3287C-BDF1-444A-BF11-88E2FA4651E6}">
          <x14:formula1>
            <xm:f>'Sewer Cost Data'!$E$4:$F$4</xm:f>
          </x14:formula1>
          <xm:sqref>T3:T27 X3:X27 P3:P27</xm:sqref>
        </x14:dataValidation>
        <x14:dataValidation type="list" allowBlank="1" showInputMessage="1" showErrorMessage="1" xr:uid="{853EE4C2-E8EC-4156-A031-35DE77B522B2}">
          <x14:formula1>
            <xm:f>Data!$A$37:$A$41</xm:f>
          </x14:formula1>
          <xm:sqref>E3:E27 K3:K27</xm:sqref>
        </x14:dataValidation>
        <x14:dataValidation type="list" allowBlank="1" showInputMessage="1" showErrorMessage="1" xr:uid="{09A70F31-243A-47FA-B345-6126B7D24869}">
          <x14:formula1>
            <xm:f>'Sewer Cost Data'!$A$5:$A$12</xm:f>
          </x14:formula1>
          <xm:sqref>C3:C27 I3:I27</xm:sqref>
        </x14:dataValidation>
        <x14:dataValidation type="list" allowBlank="1" showInputMessage="1" showErrorMessage="1" xr:uid="{5ED62490-2D04-4314-BA56-867946D688FE}">
          <x14:formula1>
            <xm:f>Data!$A$43:$A$44</xm:f>
          </x14:formula1>
          <xm:sqref>AD3:AD27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3"/>
  <sheetViews>
    <sheetView zoomScale="115" zoomScaleNormal="115" workbookViewId="0">
      <selection activeCell="T14" sqref="T14"/>
    </sheetView>
  </sheetViews>
  <sheetFormatPr defaultRowHeight="13.2" x14ac:dyDescent="0.25"/>
  <cols>
    <col min="1" max="1" width="9.6640625" customWidth="1"/>
    <col min="2" max="4" width="9.33203125" hidden="1" customWidth="1"/>
    <col min="5" max="7" width="10.6640625" customWidth="1"/>
    <col min="8" max="8" width="9.6640625" customWidth="1"/>
    <col min="9" max="10" width="11.44140625" bestFit="1" customWidth="1"/>
    <col min="11" max="11" width="10.6640625" customWidth="1"/>
    <col min="12" max="21" width="11.6640625" customWidth="1"/>
    <col min="22" max="22" width="10.6640625" customWidth="1"/>
  </cols>
  <sheetData>
    <row r="1" spans="1:22" ht="3" customHeight="1" x14ac:dyDescent="0.25">
      <c r="A1" s="230" t="s">
        <v>35</v>
      </c>
      <c r="B1" s="238"/>
      <c r="C1" s="238"/>
      <c r="D1" s="238"/>
      <c r="E1" s="238"/>
      <c r="F1" s="238"/>
      <c r="G1" s="231"/>
      <c r="H1" s="221" t="s">
        <v>36</v>
      </c>
      <c r="I1" s="222"/>
      <c r="J1" s="223"/>
      <c r="K1" s="108"/>
      <c r="L1" s="221" t="s">
        <v>6</v>
      </c>
      <c r="M1" s="222"/>
      <c r="N1" s="222"/>
      <c r="O1" s="222"/>
      <c r="P1" s="222"/>
      <c r="Q1" s="223"/>
      <c r="R1" s="187"/>
      <c r="S1" s="187"/>
      <c r="T1" s="230" t="s">
        <v>7</v>
      </c>
      <c r="U1" s="231"/>
      <c r="V1" s="215" t="s">
        <v>8</v>
      </c>
    </row>
    <row r="2" spans="1:22" ht="12.75" customHeight="1" thickBot="1" x14ac:dyDescent="0.3">
      <c r="A2" s="232"/>
      <c r="B2" s="239"/>
      <c r="C2" s="239"/>
      <c r="D2" s="239"/>
      <c r="E2" s="239"/>
      <c r="F2" s="239"/>
      <c r="G2" s="233"/>
      <c r="H2" s="224"/>
      <c r="I2" s="225"/>
      <c r="J2" s="226"/>
      <c r="K2" s="212" t="s">
        <v>5</v>
      </c>
      <c r="L2" s="224"/>
      <c r="M2" s="225"/>
      <c r="N2" s="225"/>
      <c r="O2" s="225"/>
      <c r="P2" s="225"/>
      <c r="Q2" s="226"/>
      <c r="R2" s="188"/>
      <c r="S2" s="188"/>
      <c r="T2" s="232"/>
      <c r="U2" s="233"/>
      <c r="V2" s="216"/>
    </row>
    <row r="3" spans="1:22" ht="12.75" customHeight="1" x14ac:dyDescent="0.25">
      <c r="A3" s="210" t="s">
        <v>37</v>
      </c>
      <c r="B3" s="61"/>
      <c r="C3" s="219" t="s">
        <v>14</v>
      </c>
      <c r="D3" s="220"/>
      <c r="E3" s="242" t="s">
        <v>38</v>
      </c>
      <c r="F3" s="242"/>
      <c r="G3" s="236" t="s">
        <v>39</v>
      </c>
      <c r="H3" s="240" t="s">
        <v>37</v>
      </c>
      <c r="I3" s="228" t="s">
        <v>38</v>
      </c>
      <c r="J3" s="229"/>
      <c r="K3" s="213"/>
      <c r="L3" s="227" t="s">
        <v>40</v>
      </c>
      <c r="M3" s="228"/>
      <c r="N3" s="228"/>
      <c r="O3" s="228"/>
      <c r="P3" s="228"/>
      <c r="Q3" s="229"/>
      <c r="R3" s="171"/>
      <c r="S3" s="171"/>
      <c r="T3" s="234" t="s">
        <v>41</v>
      </c>
      <c r="U3" s="236" t="s">
        <v>42</v>
      </c>
      <c r="V3" s="217" t="s">
        <v>43</v>
      </c>
    </row>
    <row r="4" spans="1:22" ht="12.75" customHeight="1" x14ac:dyDescent="0.25">
      <c r="A4" s="211"/>
      <c r="B4" s="60" t="s">
        <v>44</v>
      </c>
      <c r="C4" s="44" t="s">
        <v>29</v>
      </c>
      <c r="D4" s="44" t="s">
        <v>45</v>
      </c>
      <c r="E4" s="69" t="s">
        <v>29</v>
      </c>
      <c r="F4" s="69" t="s">
        <v>45</v>
      </c>
      <c r="G4" s="237"/>
      <c r="H4" s="241"/>
      <c r="I4" s="70" t="s">
        <v>29</v>
      </c>
      <c r="J4" s="71" t="s">
        <v>45</v>
      </c>
      <c r="K4" s="107" t="s">
        <v>46</v>
      </c>
      <c r="L4" s="72" t="s">
        <v>28</v>
      </c>
      <c r="M4" s="73" t="s">
        <v>47</v>
      </c>
      <c r="N4" s="73" t="s">
        <v>31</v>
      </c>
      <c r="O4" s="73" t="s">
        <v>34</v>
      </c>
      <c r="P4" s="73" t="s">
        <v>48</v>
      </c>
      <c r="Q4" s="174" t="s">
        <v>49</v>
      </c>
      <c r="R4" s="74" t="s">
        <v>50</v>
      </c>
      <c r="S4" s="172" t="s">
        <v>51</v>
      </c>
      <c r="T4" s="235"/>
      <c r="U4" s="237"/>
      <c r="V4" s="218"/>
    </row>
    <row r="5" spans="1:22" ht="13.8" thickBot="1" x14ac:dyDescent="0.3">
      <c r="A5" s="96" t="s">
        <v>28</v>
      </c>
      <c r="B5" s="45">
        <v>60.915725999999999</v>
      </c>
      <c r="C5" s="45">
        <v>53.524867893020307</v>
      </c>
      <c r="D5" s="45">
        <v>92.219179893020311</v>
      </c>
      <c r="E5" s="48">
        <v>188</v>
      </c>
      <c r="F5" s="48">
        <v>249</v>
      </c>
      <c r="G5" s="75">
        <v>661</v>
      </c>
      <c r="H5" s="76" t="s">
        <v>52</v>
      </c>
      <c r="I5" s="77">
        <v>5082</v>
      </c>
      <c r="J5" s="78">
        <v>11878</v>
      </c>
      <c r="K5" s="101">
        <v>2501</v>
      </c>
      <c r="L5" s="79">
        <v>13458</v>
      </c>
      <c r="M5" s="80">
        <f>AVERAGE(L5,N5)</f>
        <v>16073</v>
      </c>
      <c r="N5" s="81">
        <v>18688</v>
      </c>
      <c r="O5" s="82">
        <v>24725</v>
      </c>
      <c r="P5" s="82">
        <v>24725</v>
      </c>
      <c r="Q5" s="82">
        <v>24725</v>
      </c>
      <c r="R5" s="82">
        <v>24725</v>
      </c>
      <c r="S5" s="173">
        <v>24725</v>
      </c>
      <c r="T5" s="83">
        <v>2016</v>
      </c>
      <c r="U5" s="84">
        <v>92</v>
      </c>
      <c r="V5" s="85">
        <v>64</v>
      </c>
    </row>
    <row r="6" spans="1:22" x14ac:dyDescent="0.25">
      <c r="A6" s="96" t="s">
        <v>47</v>
      </c>
      <c r="B6" s="97"/>
      <c r="C6" s="97"/>
      <c r="D6" s="97"/>
      <c r="E6" s="87">
        <f>(E5+E7)/2</f>
        <v>194</v>
      </c>
      <c r="F6" s="87">
        <f t="shared" ref="F6:G6" si="0">(F5+F7)/2</f>
        <v>256</v>
      </c>
      <c r="G6" s="87">
        <f t="shared" si="0"/>
        <v>789</v>
      </c>
      <c r="H6" s="76" t="s">
        <v>53</v>
      </c>
      <c r="I6" s="77">
        <v>11098</v>
      </c>
      <c r="J6" s="78">
        <v>15587</v>
      </c>
      <c r="K6" s="46"/>
      <c r="L6" s="46"/>
      <c r="M6" s="46"/>
      <c r="N6" s="46"/>
      <c r="O6" s="46"/>
      <c r="P6" s="46"/>
      <c r="Q6" s="46"/>
      <c r="R6" s="46"/>
      <c r="S6" s="46"/>
      <c r="T6" s="46"/>
      <c r="U6" s="46"/>
      <c r="V6" s="46"/>
    </row>
    <row r="7" spans="1:22" ht="12.75" customHeight="1" thickBot="1" x14ac:dyDescent="0.3">
      <c r="A7" s="96" t="s">
        <v>31</v>
      </c>
      <c r="B7" s="45">
        <v>60.915725999999999</v>
      </c>
      <c r="C7" s="45">
        <v>61.811999999999998</v>
      </c>
      <c r="D7" s="45">
        <v>100.50631200000001</v>
      </c>
      <c r="E7" s="48">
        <v>200</v>
      </c>
      <c r="F7" s="48">
        <v>263</v>
      </c>
      <c r="G7" s="75">
        <v>917</v>
      </c>
      <c r="H7" s="88" t="s">
        <v>54</v>
      </c>
      <c r="I7" s="89">
        <v>17589</v>
      </c>
      <c r="J7" s="90">
        <v>30363</v>
      </c>
      <c r="K7" s="46"/>
      <c r="L7" s="46"/>
      <c r="M7" s="46"/>
      <c r="N7" s="46"/>
      <c r="O7" s="46"/>
      <c r="P7" s="46"/>
      <c r="Q7" s="46"/>
      <c r="R7" s="46"/>
      <c r="S7" s="46"/>
      <c r="T7" s="46"/>
      <c r="U7" s="46"/>
      <c r="V7" s="46"/>
    </row>
    <row r="8" spans="1:22" x14ac:dyDescent="0.25">
      <c r="A8" s="96" t="s">
        <v>34</v>
      </c>
      <c r="B8" s="45">
        <v>60.915725999999999</v>
      </c>
      <c r="C8" s="45">
        <v>66.962999999999994</v>
      </c>
      <c r="D8" s="45">
        <v>107.69710799999999</v>
      </c>
      <c r="E8" s="48">
        <v>208</v>
      </c>
      <c r="F8" s="48">
        <v>275</v>
      </c>
      <c r="G8" s="75">
        <v>1498</v>
      </c>
      <c r="H8" s="52"/>
      <c r="I8" s="52"/>
      <c r="J8" s="52"/>
      <c r="K8" s="52"/>
      <c r="L8" s="52"/>
      <c r="M8" s="62"/>
      <c r="N8" s="52"/>
      <c r="O8" s="52"/>
      <c r="P8" s="52"/>
      <c r="Q8" s="52"/>
      <c r="R8" s="52"/>
      <c r="S8" s="52"/>
      <c r="T8" s="52"/>
      <c r="U8" s="52"/>
      <c r="V8" s="52"/>
    </row>
    <row r="9" spans="1:22" x14ac:dyDescent="0.25">
      <c r="A9" s="96" t="s">
        <v>48</v>
      </c>
      <c r="B9" s="45">
        <v>60.915725999999999</v>
      </c>
      <c r="C9" s="45">
        <v>75.658460333333323</v>
      </c>
      <c r="D9" s="45">
        <v>116.39256833333333</v>
      </c>
      <c r="E9" s="48">
        <v>223</v>
      </c>
      <c r="F9" s="48">
        <v>289</v>
      </c>
      <c r="G9" s="75">
        <v>2080</v>
      </c>
      <c r="H9" s="52"/>
      <c r="I9" s="52"/>
      <c r="J9" s="52"/>
      <c r="K9" s="52"/>
      <c r="L9" s="52"/>
      <c r="M9" s="52"/>
      <c r="N9" s="52"/>
      <c r="O9" s="52"/>
      <c r="P9" s="52"/>
      <c r="Q9" s="52"/>
      <c r="R9" s="52"/>
      <c r="S9" s="52"/>
      <c r="T9" s="52"/>
      <c r="U9" s="52"/>
      <c r="V9" s="52"/>
    </row>
    <row r="10" spans="1:22" x14ac:dyDescent="0.25">
      <c r="A10" s="169" t="s">
        <v>49</v>
      </c>
      <c r="B10" s="45"/>
      <c r="C10" s="45"/>
      <c r="D10" s="45"/>
      <c r="E10" s="178">
        <f>E9+(E11-E9)*((20-18)/(24-18))</f>
        <v>238.33333333333334</v>
      </c>
      <c r="F10" s="178">
        <f>F9+((F11-F9)*((20-18)/(24-18)))</f>
        <v>305.66666666666669</v>
      </c>
      <c r="G10" s="179">
        <f>G9+((G11-G9)*((20-18)/(24-18)))</f>
        <v>2259</v>
      </c>
      <c r="H10" s="52"/>
      <c r="I10" s="52"/>
      <c r="J10" s="52"/>
      <c r="K10" s="52"/>
      <c r="L10" s="52"/>
      <c r="M10" s="52"/>
      <c r="N10" s="52"/>
      <c r="O10" s="52"/>
      <c r="P10" s="52"/>
      <c r="Q10" s="52"/>
      <c r="R10" s="52"/>
      <c r="S10" s="52"/>
      <c r="T10" s="52"/>
      <c r="U10" s="52"/>
      <c r="V10" s="52"/>
    </row>
    <row r="11" spans="1:22" x14ac:dyDescent="0.25">
      <c r="A11" s="44" t="s">
        <v>50</v>
      </c>
      <c r="B11" s="48">
        <v>60.915725999999999</v>
      </c>
      <c r="C11" s="48">
        <v>103.69249166666667</v>
      </c>
      <c r="D11" s="48">
        <v>146.46639566666667</v>
      </c>
      <c r="E11" s="48">
        <v>269</v>
      </c>
      <c r="F11" s="48">
        <v>339</v>
      </c>
      <c r="G11" s="75">
        <v>2617</v>
      </c>
      <c r="H11" s="52"/>
      <c r="I11" s="52"/>
      <c r="J11" s="52"/>
      <c r="K11" s="52"/>
      <c r="L11" s="52"/>
      <c r="M11" s="52"/>
      <c r="N11" s="52"/>
      <c r="O11" s="52"/>
      <c r="P11" s="52"/>
      <c r="Q11" s="52"/>
      <c r="R11" s="52"/>
      <c r="S11" s="52"/>
      <c r="T11" s="52"/>
      <c r="U11" s="52"/>
      <c r="V11" s="52"/>
    </row>
    <row r="12" spans="1:22" ht="12" customHeight="1" thickBot="1" x14ac:dyDescent="0.3">
      <c r="A12" s="175" t="s">
        <v>51</v>
      </c>
      <c r="B12" s="91"/>
      <c r="C12" s="91"/>
      <c r="D12" s="91"/>
      <c r="E12" s="176">
        <v>343</v>
      </c>
      <c r="F12" s="176">
        <v>364</v>
      </c>
      <c r="G12" s="177">
        <v>3853</v>
      </c>
      <c r="H12" s="63"/>
      <c r="I12" s="63"/>
      <c r="J12" s="63"/>
      <c r="L12" s="52"/>
      <c r="M12" s="52"/>
      <c r="N12" s="62"/>
      <c r="O12" s="52"/>
      <c r="P12" s="62"/>
      <c r="Q12" s="52"/>
      <c r="R12" s="52"/>
      <c r="S12" s="52"/>
      <c r="T12" s="52"/>
      <c r="U12" s="52"/>
      <c r="V12" s="52"/>
    </row>
    <row r="13" spans="1:22" ht="12" customHeight="1" thickBot="1" x14ac:dyDescent="0.3">
      <c r="A13" s="52"/>
      <c r="B13" s="52"/>
      <c r="C13" s="52"/>
      <c r="D13" s="52"/>
      <c r="E13" s="170"/>
      <c r="F13" s="170"/>
      <c r="G13" s="170"/>
      <c r="H13" s="63"/>
      <c r="I13" s="63"/>
      <c r="J13" s="63"/>
      <c r="L13" s="52"/>
      <c r="M13" s="52"/>
      <c r="N13" s="62"/>
      <c r="O13" s="52"/>
      <c r="P13" s="62"/>
      <c r="Q13" s="52"/>
      <c r="R13" s="52"/>
      <c r="S13" s="52"/>
      <c r="T13" s="52"/>
      <c r="U13" s="52"/>
      <c r="V13" s="52"/>
    </row>
    <row r="14" spans="1:22" ht="26.25" customHeight="1" thickBot="1" x14ac:dyDescent="0.3">
      <c r="A14" s="243" t="s">
        <v>55</v>
      </c>
      <c r="B14" s="244"/>
      <c r="C14" s="244"/>
      <c r="D14" s="244"/>
      <c r="E14" s="244"/>
      <c r="F14" s="244"/>
      <c r="G14" s="245"/>
      <c r="H14" s="47"/>
      <c r="I14" s="62"/>
      <c r="J14" s="52"/>
      <c r="K14" s="52"/>
      <c r="L14" s="214"/>
      <c r="M14" s="214"/>
      <c r="N14" s="214"/>
      <c r="O14" s="52"/>
      <c r="P14" s="52"/>
      <c r="Q14" s="52"/>
      <c r="R14" s="52"/>
      <c r="S14" s="52"/>
      <c r="T14" s="52"/>
      <c r="U14" s="52"/>
      <c r="V14" s="52"/>
    </row>
    <row r="15" spans="1:22" ht="24" x14ac:dyDescent="0.25">
      <c r="A15" s="104" t="s">
        <v>56</v>
      </c>
      <c r="B15" s="105"/>
      <c r="C15" s="105"/>
      <c r="D15" s="105"/>
      <c r="E15" s="106" t="s">
        <v>57</v>
      </c>
      <c r="F15" s="106" t="s">
        <v>58</v>
      </c>
      <c r="G15" s="189" t="s">
        <v>59</v>
      </c>
      <c r="H15" s="47"/>
      <c r="I15" s="52"/>
      <c r="J15" s="52"/>
      <c r="K15" s="62"/>
      <c r="L15" s="66"/>
      <c r="M15" s="66"/>
      <c r="N15" s="66"/>
      <c r="O15" s="52"/>
      <c r="P15" s="52"/>
      <c r="Q15" s="52"/>
      <c r="R15" s="52"/>
      <c r="S15" s="52"/>
      <c r="T15" s="52"/>
      <c r="U15" s="52"/>
      <c r="V15" s="52"/>
    </row>
    <row r="16" spans="1:22" x14ac:dyDescent="0.25">
      <c r="A16" s="96" t="s">
        <v>28</v>
      </c>
      <c r="B16" s="49"/>
      <c r="C16" s="49"/>
      <c r="D16" s="50"/>
      <c r="E16" s="51">
        <v>1.18493990101768</v>
      </c>
      <c r="F16" s="51">
        <v>1.18493990101768</v>
      </c>
      <c r="G16" s="92">
        <v>1.4099911623216532</v>
      </c>
      <c r="H16" s="47"/>
      <c r="I16" s="52"/>
      <c r="J16" s="52"/>
      <c r="K16" s="66"/>
      <c r="L16" s="52"/>
      <c r="M16" s="52"/>
      <c r="N16" s="52"/>
      <c r="O16" s="52"/>
      <c r="P16" s="52"/>
      <c r="Q16" s="52"/>
      <c r="R16" s="52"/>
      <c r="S16" s="52"/>
      <c r="T16" s="52"/>
      <c r="U16" s="52"/>
      <c r="V16" s="52"/>
    </row>
    <row r="17" spans="1:22" x14ac:dyDescent="0.25">
      <c r="A17" s="96" t="s">
        <v>47</v>
      </c>
      <c r="B17" s="49"/>
      <c r="C17" s="49"/>
      <c r="D17" s="50"/>
      <c r="E17" s="180">
        <f>AVERAGE(E16,E18)</f>
        <v>1.2288755578285748</v>
      </c>
      <c r="F17" s="180">
        <f>AVERAGE(F16,F18)</f>
        <v>1.2708465139269547</v>
      </c>
      <c r="G17" s="181">
        <f>AVERAGE(G16,G18)</f>
        <v>1.5722414470216508</v>
      </c>
      <c r="H17" s="47"/>
      <c r="I17" s="62"/>
      <c r="J17" s="52"/>
      <c r="K17" s="66"/>
      <c r="L17" s="52"/>
      <c r="M17" s="52"/>
      <c r="N17" s="52"/>
      <c r="O17" s="52"/>
      <c r="P17" s="52"/>
      <c r="Q17" s="52"/>
      <c r="R17" s="52"/>
      <c r="S17" s="52"/>
      <c r="T17" s="52"/>
      <c r="U17" s="52"/>
      <c r="V17" s="52"/>
    </row>
    <row r="18" spans="1:22" x14ac:dyDescent="0.25">
      <c r="A18" s="96" t="s">
        <v>31</v>
      </c>
      <c r="B18" s="49"/>
      <c r="C18" s="49"/>
      <c r="D18" s="50"/>
      <c r="E18" s="51">
        <v>1.2728112146394694</v>
      </c>
      <c r="F18" s="51">
        <v>1.3567531268362294</v>
      </c>
      <c r="G18" s="92">
        <v>1.7344917317216486</v>
      </c>
      <c r="H18" s="47"/>
      <c r="I18" s="52"/>
      <c r="J18" s="52"/>
      <c r="K18" s="66"/>
      <c r="L18" s="62"/>
      <c r="M18" s="62"/>
      <c r="N18" s="62"/>
      <c r="O18" s="52"/>
      <c r="P18" s="52"/>
      <c r="Q18" s="52"/>
      <c r="R18" s="52"/>
      <c r="S18" s="52"/>
      <c r="T18" s="52"/>
      <c r="U18" s="52"/>
      <c r="V18" s="52"/>
    </row>
    <row r="19" spans="1:22" x14ac:dyDescent="0.25">
      <c r="A19" s="96" t="s">
        <v>34</v>
      </c>
      <c r="B19" s="97"/>
      <c r="C19" s="97"/>
      <c r="D19" s="102"/>
      <c r="E19" s="51">
        <v>1.4632240393136229</v>
      </c>
      <c r="F19" s="51">
        <v>1.5437847418029484</v>
      </c>
      <c r="G19" s="92">
        <v>1.7854668492709256</v>
      </c>
      <c r="K19" s="67"/>
    </row>
    <row r="20" spans="1:22" ht="12.75" customHeight="1" x14ac:dyDescent="0.25">
      <c r="A20" s="96" t="s">
        <v>48</v>
      </c>
      <c r="B20" s="97"/>
      <c r="C20" s="97"/>
      <c r="D20" s="97"/>
      <c r="E20" s="51">
        <v>1.5586417295611981</v>
      </c>
      <c r="F20" s="51">
        <v>1.6340732607793753</v>
      </c>
      <c r="G20" s="92">
        <v>1.8603678544339073</v>
      </c>
      <c r="K20" s="4"/>
      <c r="L20" s="64"/>
      <c r="M20" s="64"/>
      <c r="N20" s="64"/>
    </row>
    <row r="21" spans="1:22" ht="12.75" customHeight="1" x14ac:dyDescent="0.25">
      <c r="A21" s="96" t="s">
        <v>49</v>
      </c>
      <c r="B21" s="97"/>
      <c r="C21" s="97"/>
      <c r="D21" s="97"/>
      <c r="E21" s="182">
        <f>E20+(E22-E20)*((20-18)/(24-18))</f>
        <v>1.574467162472585</v>
      </c>
      <c r="F21" s="182">
        <f t="shared" ref="F21:G21" si="1">F20+(F22-F20)*((20-18)/(24-18))</f>
        <v>1.6769089897731417</v>
      </c>
      <c r="G21" s="183">
        <f t="shared" si="1"/>
        <v>1.8799261920312684</v>
      </c>
      <c r="K21" s="4"/>
      <c r="L21" s="64"/>
      <c r="M21" s="64"/>
      <c r="N21" s="64"/>
    </row>
    <row r="22" spans="1:22" ht="12.75" customHeight="1" thickBot="1" x14ac:dyDescent="0.3">
      <c r="A22" s="98" t="s">
        <v>50</v>
      </c>
      <c r="B22" s="103"/>
      <c r="C22" s="103"/>
      <c r="D22" s="103"/>
      <c r="E22" s="93">
        <v>1.6061180282953591</v>
      </c>
      <c r="F22" s="93">
        <v>1.7625804477606748</v>
      </c>
      <c r="G22" s="94">
        <v>1.9190428672259907</v>
      </c>
      <c r="K22" s="4"/>
    </row>
    <row r="23" spans="1:22" x14ac:dyDescent="0.25">
      <c r="K23" s="68"/>
      <c r="L23" s="52"/>
      <c r="M23" s="52"/>
      <c r="N23" s="52"/>
    </row>
    <row r="24" spans="1:22" x14ac:dyDescent="0.25">
      <c r="K24" s="66"/>
      <c r="L24" s="52"/>
      <c r="M24" s="52"/>
      <c r="N24" s="52"/>
    </row>
    <row r="25" spans="1:22" x14ac:dyDescent="0.25">
      <c r="K25" s="66"/>
      <c r="L25" s="52"/>
      <c r="M25" s="52"/>
      <c r="N25" s="52"/>
    </row>
    <row r="26" spans="1:22" s="99" customFormat="1" x14ac:dyDescent="0.25">
      <c r="K26" s="67"/>
      <c r="L26" s="100"/>
      <c r="M26" s="100"/>
      <c r="N26" s="100"/>
    </row>
    <row r="27" spans="1:22" x14ac:dyDescent="0.25">
      <c r="K27" s="65"/>
    </row>
    <row r="28" spans="1:22" x14ac:dyDescent="0.25">
      <c r="L28" s="64"/>
      <c r="M28" s="2"/>
      <c r="N28" s="64"/>
    </row>
    <row r="29" spans="1:22" x14ac:dyDescent="0.25">
      <c r="L29" s="64"/>
      <c r="M29" s="2"/>
      <c r="N29" s="64"/>
    </row>
    <row r="33" spans="13:13" x14ac:dyDescent="0.25">
      <c r="M33" s="2"/>
    </row>
  </sheetData>
  <sheetProtection sheet="1" formatCells="0" formatColumns="0" formatRows="0" insertColumns="0" insertRows="0" insertHyperlinks="0" deleteColumns="0" deleteRows="0" sort="0" autoFilter="0" pivotTables="0"/>
  <mergeCells count="18">
    <mergeCell ref="E3:F3"/>
    <mergeCell ref="A14:G14"/>
    <mergeCell ref="A3:A4"/>
    <mergeCell ref="K2:K3"/>
    <mergeCell ref="L14:N14"/>
    <mergeCell ref="V1:V2"/>
    <mergeCell ref="V3:V4"/>
    <mergeCell ref="C3:D3"/>
    <mergeCell ref="L1:Q2"/>
    <mergeCell ref="L3:Q3"/>
    <mergeCell ref="T1:U2"/>
    <mergeCell ref="T3:T4"/>
    <mergeCell ref="U3:U4"/>
    <mergeCell ref="A1:G2"/>
    <mergeCell ref="G3:G4"/>
    <mergeCell ref="H1:J2"/>
    <mergeCell ref="H3:H4"/>
    <mergeCell ref="I3:J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23"/>
  <sheetViews>
    <sheetView zoomScale="130" zoomScaleNormal="130" workbookViewId="0">
      <selection activeCell="R3" sqref="R3"/>
    </sheetView>
  </sheetViews>
  <sheetFormatPr defaultRowHeight="13.2" x14ac:dyDescent="0.25"/>
  <cols>
    <col min="1" max="4" width="9.6640625" customWidth="1"/>
    <col min="5" max="5" width="8.6640625" bestFit="1" customWidth="1"/>
    <col min="6" max="6" width="13.6640625" customWidth="1"/>
    <col min="7" max="7" width="9.33203125" customWidth="1"/>
    <col min="8" max="8" width="11.109375" customWidth="1"/>
    <col min="10" max="10" width="13.6640625" customWidth="1"/>
    <col min="11" max="11" width="8.33203125" bestFit="1" customWidth="1"/>
    <col min="12" max="12" width="10.6640625" customWidth="1"/>
    <col min="13" max="13" width="10.33203125" bestFit="1" customWidth="1"/>
    <col min="14" max="14" width="13.6640625" customWidth="1"/>
    <col min="15" max="15" width="9.109375" customWidth="1"/>
    <col min="16" max="16" width="11.33203125" bestFit="1" customWidth="1"/>
    <col min="17" max="17" width="13.6640625" customWidth="1"/>
    <col min="20" max="20" width="11.33203125" bestFit="1" customWidth="1"/>
    <col min="21" max="21" width="13.6640625" customWidth="1"/>
    <col min="22" max="22" width="12.33203125" style="4" bestFit="1" customWidth="1"/>
    <col min="23" max="23" width="8.6640625" style="4" bestFit="1" customWidth="1"/>
    <col min="24" max="24" width="12.33203125" style="4" bestFit="1" customWidth="1"/>
    <col min="25" max="25" width="8.6640625" style="4" bestFit="1" customWidth="1"/>
  </cols>
  <sheetData>
    <row r="1" spans="1:39" s="115" customFormat="1" ht="19.5" customHeight="1" x14ac:dyDescent="0.25">
      <c r="A1" s="124"/>
      <c r="B1" s="128"/>
      <c r="C1" s="247" t="s">
        <v>0</v>
      </c>
      <c r="D1" s="247"/>
      <c r="E1" s="247"/>
      <c r="F1" s="248"/>
      <c r="G1" s="246" t="s">
        <v>1</v>
      </c>
      <c r="H1" s="247"/>
      <c r="I1" s="247"/>
      <c r="J1" s="247"/>
      <c r="K1" s="246" t="s">
        <v>5</v>
      </c>
      <c r="L1" s="247"/>
      <c r="M1" s="247"/>
      <c r="N1" s="248"/>
      <c r="O1" s="246" t="s">
        <v>60</v>
      </c>
      <c r="P1" s="247"/>
      <c r="Q1" s="248"/>
      <c r="R1" s="246" t="s">
        <v>61</v>
      </c>
      <c r="S1" s="247"/>
      <c r="T1" s="247"/>
      <c r="U1" s="248"/>
      <c r="V1" s="249" t="s">
        <v>9</v>
      </c>
      <c r="W1" s="250"/>
      <c r="X1" s="249" t="s">
        <v>10</v>
      </c>
      <c r="Y1" s="250"/>
      <c r="Z1" s="116"/>
      <c r="AA1" s="116"/>
      <c r="AB1" s="116"/>
      <c r="AC1" s="116"/>
      <c r="AD1" s="116"/>
      <c r="AE1" s="116"/>
      <c r="AF1" s="116"/>
      <c r="AG1" s="116"/>
      <c r="AH1" s="116"/>
      <c r="AI1" s="116"/>
      <c r="AJ1" s="116"/>
      <c r="AK1" s="116"/>
      <c r="AL1" s="116"/>
      <c r="AM1" s="116"/>
    </row>
    <row r="2" spans="1:39" s="8" customFormat="1" ht="26.4" x14ac:dyDescent="0.25">
      <c r="A2" s="11" t="s">
        <v>11</v>
      </c>
      <c r="B2" s="12" t="s">
        <v>12</v>
      </c>
      <c r="C2" s="122" t="s">
        <v>13</v>
      </c>
      <c r="D2" s="120" t="s">
        <v>39</v>
      </c>
      <c r="E2" s="120" t="s">
        <v>16</v>
      </c>
      <c r="F2" s="118" t="s">
        <v>18</v>
      </c>
      <c r="G2" s="119" t="s">
        <v>19</v>
      </c>
      <c r="H2" s="118" t="s">
        <v>39</v>
      </c>
      <c r="I2" s="122" t="s">
        <v>62</v>
      </c>
      <c r="J2" s="121" t="s">
        <v>18</v>
      </c>
      <c r="K2" s="119" t="s">
        <v>20</v>
      </c>
      <c r="L2" s="122" t="s">
        <v>37</v>
      </c>
      <c r="M2" s="120" t="s">
        <v>22</v>
      </c>
      <c r="N2" s="118" t="s">
        <v>18</v>
      </c>
      <c r="O2" s="119" t="s">
        <v>20</v>
      </c>
      <c r="P2" s="121" t="s">
        <v>24</v>
      </c>
      <c r="Q2" s="12" t="s">
        <v>18</v>
      </c>
      <c r="R2" s="122" t="s">
        <v>25</v>
      </c>
      <c r="S2" s="123" t="s">
        <v>37</v>
      </c>
      <c r="T2" s="121" t="s">
        <v>24</v>
      </c>
      <c r="U2" s="130" t="s">
        <v>18</v>
      </c>
      <c r="V2" s="119" t="s">
        <v>26</v>
      </c>
      <c r="W2" s="121" t="s">
        <v>27</v>
      </c>
      <c r="X2" s="119" t="s">
        <v>26</v>
      </c>
      <c r="Y2" s="118" t="s">
        <v>27</v>
      </c>
      <c r="AA2" s="117"/>
      <c r="AB2" s="117"/>
      <c r="AC2" s="117"/>
      <c r="AD2" s="117"/>
      <c r="AE2" s="117"/>
      <c r="AF2" s="117"/>
      <c r="AG2" s="117"/>
      <c r="AH2" s="117"/>
      <c r="AI2" s="117"/>
      <c r="AJ2" s="117"/>
      <c r="AK2" s="117"/>
      <c r="AL2" s="117"/>
      <c r="AM2" s="117"/>
    </row>
    <row r="3" spans="1:39" x14ac:dyDescent="0.25">
      <c r="A3" s="22"/>
      <c r="B3" s="127">
        <v>100</v>
      </c>
      <c r="C3" s="35" t="s">
        <v>63</v>
      </c>
      <c r="D3" s="23" t="s">
        <v>33</v>
      </c>
      <c r="E3" s="14" t="str">
        <f>IFERROR(IF(D3="Yes",VLOOKUP(C3,'Water Cost Data'!$A$5:$G$9,7,FALSE),VLOOKUP(C3,'Water Cost Data'!$A$5:$G$9,6,FALSE)),"")</f>
        <v/>
      </c>
      <c r="F3" s="15" t="str">
        <f t="shared" ref="F3:F23" si="0">IFERROR(E3*B3,"")</f>
        <v/>
      </c>
      <c r="G3" s="22" t="s">
        <v>28</v>
      </c>
      <c r="H3" s="127" t="s">
        <v>33</v>
      </c>
      <c r="I3" s="126">
        <f>IFERROR(IF(H3="Yes",VLOOKUP(G3,'Water Cost Data'!$A$5:$G$9,7,FALSE),VLOOKUP(G3,'Water Cost Data'!$A$5:$G$9,6,FALSE)),"")</f>
        <v>166</v>
      </c>
      <c r="J3" s="15">
        <f t="shared" ref="J3:J23" si="1">IFERROR(I3*B3,"")</f>
        <v>16600</v>
      </c>
      <c r="K3" s="22">
        <v>0</v>
      </c>
      <c r="L3" s="24" t="s">
        <v>64</v>
      </c>
      <c r="M3" s="16">
        <f>IFERROR(VLOOKUP(L3,'Water Cost Data'!$H$5:$I$7,2,FALSE),0)</f>
        <v>1706</v>
      </c>
      <c r="N3" s="17">
        <f>IFERROR(M3*K3,"")</f>
        <v>0</v>
      </c>
      <c r="O3" s="22">
        <v>0</v>
      </c>
      <c r="P3" s="132">
        <f>'Water Cost Data'!$L$5</f>
        <v>6554</v>
      </c>
      <c r="Q3" s="17">
        <f>O3*P3</f>
        <v>0</v>
      </c>
      <c r="R3" s="35">
        <v>0</v>
      </c>
      <c r="S3" s="25" t="s">
        <v>63</v>
      </c>
      <c r="T3" s="129">
        <f>IFERROR(VLOOKUP(S3,'Water Cost Data'!$J$5:$K$9,2,FALSE),0)</f>
        <v>6719</v>
      </c>
      <c r="U3" s="131">
        <f>IFERROR(T3*R3,"")</f>
        <v>0</v>
      </c>
      <c r="V3" s="18">
        <f>SUM(U3,Q3,N3,F3)</f>
        <v>0</v>
      </c>
      <c r="W3" s="125">
        <f t="shared" ref="W3:W23" si="2">IFERROR(V3/B3,"")</f>
        <v>0</v>
      </c>
      <c r="X3" s="18">
        <f>SUM(J3,N3,Q3,U3)</f>
        <v>16600</v>
      </c>
      <c r="Y3" s="19">
        <f t="shared" ref="Y3:Y23" si="3">IFERROR(X3/B3,"")</f>
        <v>166</v>
      </c>
      <c r="AA3" s="86"/>
      <c r="AB3" s="86"/>
      <c r="AC3" s="86"/>
      <c r="AD3" s="86"/>
      <c r="AE3" s="86"/>
      <c r="AF3" s="86"/>
      <c r="AG3" s="86"/>
      <c r="AH3" s="86"/>
      <c r="AI3" s="86"/>
      <c r="AJ3" s="86"/>
      <c r="AK3" s="86"/>
      <c r="AL3" s="86"/>
      <c r="AM3" s="86"/>
    </row>
    <row r="4" spans="1:39" x14ac:dyDescent="0.25">
      <c r="A4" s="22"/>
      <c r="B4" s="127">
        <v>0</v>
      </c>
      <c r="C4" s="35" t="s">
        <v>63</v>
      </c>
      <c r="D4" s="23" t="s">
        <v>33</v>
      </c>
      <c r="E4" s="14" t="str">
        <f>IFERROR(IF(D4="Yes",VLOOKUP(C4,'Water Cost Data'!$A$5:$G$9,7,FALSE),VLOOKUP(C4,'Water Cost Data'!$A$5:$G$9,6,FALSE)),"")</f>
        <v/>
      </c>
      <c r="F4" s="15" t="str">
        <f t="shared" si="0"/>
        <v/>
      </c>
      <c r="G4" s="22" t="s">
        <v>31</v>
      </c>
      <c r="H4" s="127" t="s">
        <v>33</v>
      </c>
      <c r="I4" s="126">
        <f>IFERROR(IF(H4="Yes",VLOOKUP(G4,'Water Cost Data'!$A$5:$G$9,7,FALSE),VLOOKUP(G4,'Water Cost Data'!$A$5:$G$9,6,FALSE)),"")</f>
        <v>204</v>
      </c>
      <c r="J4" s="15">
        <f t="shared" si="1"/>
        <v>0</v>
      </c>
      <c r="K4" s="22">
        <v>0</v>
      </c>
      <c r="L4" s="24" t="s">
        <v>64</v>
      </c>
      <c r="M4" s="16">
        <f>IFERROR(VLOOKUP(L4,'Water Cost Data'!$H$5:$I$7,2,FALSE),0)</f>
        <v>1706</v>
      </c>
      <c r="N4" s="17">
        <f t="shared" ref="N4:N23" si="4">IFERROR(M4*K4,"")</f>
        <v>0</v>
      </c>
      <c r="O4" s="22">
        <v>0</v>
      </c>
      <c r="P4" s="132">
        <f>'Water Cost Data'!$L$5</f>
        <v>6554</v>
      </c>
      <c r="Q4" s="17">
        <f t="shared" ref="Q4:Q23" si="5">O4*P4</f>
        <v>0</v>
      </c>
      <c r="R4" s="35">
        <v>0</v>
      </c>
      <c r="S4" s="25" t="s">
        <v>28</v>
      </c>
      <c r="T4" s="129">
        <f>IFERROR(VLOOKUP(S4,'Water Cost Data'!$J$5:$K$9,2,FALSE),0)</f>
        <v>19651</v>
      </c>
      <c r="U4" s="131">
        <f t="shared" ref="U4:U23" si="6">IFERROR(T4*R4,"")</f>
        <v>0</v>
      </c>
      <c r="V4" s="18">
        <f t="shared" ref="V4:V23" si="7">SUM(U4,Q4,N4,F4)</f>
        <v>0</v>
      </c>
      <c r="W4" s="125" t="str">
        <f t="shared" si="2"/>
        <v/>
      </c>
      <c r="X4" s="18">
        <f t="shared" ref="X4:X23" si="8">SUM(J4,N4,Q4,U4)</f>
        <v>0</v>
      </c>
      <c r="Y4" s="19" t="str">
        <f t="shared" si="3"/>
        <v/>
      </c>
    </row>
    <row r="5" spans="1:39" x14ac:dyDescent="0.25">
      <c r="A5" s="22"/>
      <c r="B5" s="127">
        <v>0</v>
      </c>
      <c r="C5" s="35" t="s">
        <v>63</v>
      </c>
      <c r="D5" s="23" t="s">
        <v>33</v>
      </c>
      <c r="E5" s="14" t="str">
        <f>IFERROR(IF(D5="Yes",VLOOKUP(C5,'Water Cost Data'!$A$5:$G$9,7,FALSE),VLOOKUP(C5,'Water Cost Data'!$A$5:$G$9,6,FALSE)),"")</f>
        <v/>
      </c>
      <c r="F5" s="15" t="str">
        <f t="shared" si="0"/>
        <v/>
      </c>
      <c r="G5" s="22" t="s">
        <v>31</v>
      </c>
      <c r="H5" s="127" t="s">
        <v>33</v>
      </c>
      <c r="I5" s="126">
        <f>IFERROR(IF(H5="Yes",VLOOKUP(G5,'Water Cost Data'!$A$5:$G$9,7,FALSE),VLOOKUP(G5,'Water Cost Data'!$A$5:$G$9,6,FALSE)),"")</f>
        <v>204</v>
      </c>
      <c r="J5" s="15">
        <f t="shared" si="1"/>
        <v>0</v>
      </c>
      <c r="K5" s="22">
        <v>0</v>
      </c>
      <c r="L5" s="24" t="s">
        <v>64</v>
      </c>
      <c r="M5" s="16">
        <f>IFERROR(VLOOKUP(L5,'Water Cost Data'!$H$5:$I$7,2,FALSE),0)</f>
        <v>1706</v>
      </c>
      <c r="N5" s="17">
        <f t="shared" si="4"/>
        <v>0</v>
      </c>
      <c r="O5" s="22">
        <v>0</v>
      </c>
      <c r="P5" s="132">
        <f>'Water Cost Data'!$L$5</f>
        <v>6554</v>
      </c>
      <c r="Q5" s="17">
        <f t="shared" si="5"/>
        <v>0</v>
      </c>
      <c r="R5" s="35">
        <v>0</v>
      </c>
      <c r="S5" s="25" t="s">
        <v>28</v>
      </c>
      <c r="T5" s="129">
        <f>IFERROR(VLOOKUP(S5,'Water Cost Data'!$J$5:$K$9,2,FALSE),0)</f>
        <v>19651</v>
      </c>
      <c r="U5" s="131">
        <f t="shared" si="6"/>
        <v>0</v>
      </c>
      <c r="V5" s="18">
        <f t="shared" si="7"/>
        <v>0</v>
      </c>
      <c r="W5" s="125" t="str">
        <f t="shared" si="2"/>
        <v/>
      </c>
      <c r="X5" s="18">
        <f t="shared" si="8"/>
        <v>0</v>
      </c>
      <c r="Y5" s="19" t="str">
        <f t="shared" si="3"/>
        <v/>
      </c>
    </row>
    <row r="6" spans="1:39" x14ac:dyDescent="0.25">
      <c r="A6" s="22"/>
      <c r="B6" s="127">
        <v>0</v>
      </c>
      <c r="C6" s="35" t="s">
        <v>63</v>
      </c>
      <c r="D6" s="23" t="s">
        <v>33</v>
      </c>
      <c r="E6" s="14" t="str">
        <f>IFERROR(IF(D6="Yes",VLOOKUP(C6,'Water Cost Data'!$A$5:$G$9,7,FALSE),VLOOKUP(C6,'Water Cost Data'!$A$5:$G$9,6,FALSE)),"")</f>
        <v/>
      </c>
      <c r="F6" s="15" t="str">
        <f t="shared" si="0"/>
        <v/>
      </c>
      <c r="G6" s="22" t="s">
        <v>31</v>
      </c>
      <c r="H6" s="127" t="s">
        <v>33</v>
      </c>
      <c r="I6" s="126">
        <f>IFERROR(IF(H6="Yes",VLOOKUP(G6,'Water Cost Data'!$A$5:$G$9,7,FALSE),VLOOKUP(G6,'Water Cost Data'!$A$5:$G$9,6,FALSE)),"")</f>
        <v>204</v>
      </c>
      <c r="J6" s="15">
        <f t="shared" si="1"/>
        <v>0</v>
      </c>
      <c r="K6" s="22">
        <v>0</v>
      </c>
      <c r="L6" s="24" t="s">
        <v>64</v>
      </c>
      <c r="M6" s="16">
        <f>IFERROR(VLOOKUP(L6,'Water Cost Data'!$H$5:$I$7,2,FALSE),0)</f>
        <v>1706</v>
      </c>
      <c r="N6" s="17">
        <f t="shared" si="4"/>
        <v>0</v>
      </c>
      <c r="O6" s="22">
        <v>0</v>
      </c>
      <c r="P6" s="132">
        <f>'Water Cost Data'!$L$5</f>
        <v>6554</v>
      </c>
      <c r="Q6" s="17">
        <f t="shared" si="5"/>
        <v>0</v>
      </c>
      <c r="R6" s="35">
        <v>0</v>
      </c>
      <c r="S6" s="25" t="s">
        <v>28</v>
      </c>
      <c r="T6" s="129">
        <f>IFERROR(VLOOKUP(S6,'Water Cost Data'!$J$5:$K$9,2,FALSE),0)</f>
        <v>19651</v>
      </c>
      <c r="U6" s="131">
        <f t="shared" si="6"/>
        <v>0</v>
      </c>
      <c r="V6" s="18">
        <f t="shared" si="7"/>
        <v>0</v>
      </c>
      <c r="W6" s="125" t="str">
        <f t="shared" si="2"/>
        <v/>
      </c>
      <c r="X6" s="18">
        <f t="shared" si="8"/>
        <v>0</v>
      </c>
      <c r="Y6" s="19" t="str">
        <f t="shared" si="3"/>
        <v/>
      </c>
    </row>
    <row r="7" spans="1:39" x14ac:dyDescent="0.25">
      <c r="A7" s="22"/>
      <c r="B7" s="127">
        <v>0</v>
      </c>
      <c r="C7" s="35" t="s">
        <v>63</v>
      </c>
      <c r="D7" s="23" t="s">
        <v>33</v>
      </c>
      <c r="E7" s="14" t="str">
        <f>IFERROR(IF(D7="Yes",VLOOKUP(C7,'Water Cost Data'!$A$5:$G$9,7,FALSE),VLOOKUP(C7,'Water Cost Data'!$A$5:$G$9,6,FALSE)),"")</f>
        <v/>
      </c>
      <c r="F7" s="15" t="str">
        <f t="shared" si="0"/>
        <v/>
      </c>
      <c r="G7" s="22" t="s">
        <v>31</v>
      </c>
      <c r="H7" s="127" t="s">
        <v>33</v>
      </c>
      <c r="I7" s="126">
        <f>IFERROR(IF(H7="Yes",VLOOKUP(G7,'Water Cost Data'!$A$5:$G$9,7,FALSE),VLOOKUP(G7,'Water Cost Data'!$A$5:$G$9,6,FALSE)),"")</f>
        <v>204</v>
      </c>
      <c r="J7" s="15">
        <f t="shared" si="1"/>
        <v>0</v>
      </c>
      <c r="K7" s="22">
        <v>0</v>
      </c>
      <c r="L7" s="24" t="s">
        <v>64</v>
      </c>
      <c r="M7" s="16">
        <f>IFERROR(VLOOKUP(L7,'Water Cost Data'!$H$5:$I$7,2,FALSE),0)</f>
        <v>1706</v>
      </c>
      <c r="N7" s="17">
        <f t="shared" si="4"/>
        <v>0</v>
      </c>
      <c r="O7" s="22">
        <v>0</v>
      </c>
      <c r="P7" s="132">
        <f>'Water Cost Data'!$L$5</f>
        <v>6554</v>
      </c>
      <c r="Q7" s="17">
        <f t="shared" si="5"/>
        <v>0</v>
      </c>
      <c r="R7" s="35">
        <v>0</v>
      </c>
      <c r="S7" s="25" t="s">
        <v>28</v>
      </c>
      <c r="T7" s="129">
        <f>IFERROR(VLOOKUP(S7,'Water Cost Data'!$J$5:$K$9,2,FALSE),0)</f>
        <v>19651</v>
      </c>
      <c r="U7" s="131">
        <f t="shared" si="6"/>
        <v>0</v>
      </c>
      <c r="V7" s="18">
        <f t="shared" si="7"/>
        <v>0</v>
      </c>
      <c r="W7" s="125" t="str">
        <f t="shared" si="2"/>
        <v/>
      </c>
      <c r="X7" s="18">
        <f t="shared" si="8"/>
        <v>0</v>
      </c>
      <c r="Y7" s="19" t="str">
        <f t="shared" si="3"/>
        <v/>
      </c>
    </row>
    <row r="8" spans="1:39" x14ac:dyDescent="0.25">
      <c r="A8" s="22"/>
      <c r="B8" s="127">
        <v>0</v>
      </c>
      <c r="C8" s="35" t="s">
        <v>63</v>
      </c>
      <c r="D8" s="23" t="s">
        <v>33</v>
      </c>
      <c r="E8" s="14" t="str">
        <f>IFERROR(IF(D8="Yes",VLOOKUP(C8,'Water Cost Data'!$A$5:$G$9,7,FALSE),VLOOKUP(C8,'Water Cost Data'!$A$5:$G$9,6,FALSE)),"")</f>
        <v/>
      </c>
      <c r="F8" s="15" t="str">
        <f t="shared" si="0"/>
        <v/>
      </c>
      <c r="G8" s="22" t="s">
        <v>31</v>
      </c>
      <c r="H8" s="127" t="s">
        <v>33</v>
      </c>
      <c r="I8" s="126">
        <f>IFERROR(IF(H8="Yes",VLOOKUP(G8,'Water Cost Data'!$A$5:$G$9,7,FALSE),VLOOKUP(G8,'Water Cost Data'!$A$5:$G$9,6,FALSE)),"")</f>
        <v>204</v>
      </c>
      <c r="J8" s="15">
        <f t="shared" si="1"/>
        <v>0</v>
      </c>
      <c r="K8" s="22">
        <v>0</v>
      </c>
      <c r="L8" s="24" t="s">
        <v>64</v>
      </c>
      <c r="M8" s="16">
        <f>IFERROR(VLOOKUP(L8,'Water Cost Data'!$H$5:$I$7,2,FALSE),0)</f>
        <v>1706</v>
      </c>
      <c r="N8" s="17">
        <f t="shared" si="4"/>
        <v>0</v>
      </c>
      <c r="O8" s="22">
        <v>0</v>
      </c>
      <c r="P8" s="132">
        <f>'Water Cost Data'!$L$5</f>
        <v>6554</v>
      </c>
      <c r="Q8" s="17">
        <f t="shared" si="5"/>
        <v>0</v>
      </c>
      <c r="R8" s="35">
        <v>0</v>
      </c>
      <c r="S8" s="25" t="s">
        <v>28</v>
      </c>
      <c r="T8" s="129">
        <f>IFERROR(VLOOKUP(S8,'Water Cost Data'!$J$5:$K$9,2,FALSE),0)</f>
        <v>19651</v>
      </c>
      <c r="U8" s="131">
        <f t="shared" si="6"/>
        <v>0</v>
      </c>
      <c r="V8" s="18">
        <f t="shared" si="7"/>
        <v>0</v>
      </c>
      <c r="W8" s="125" t="str">
        <f t="shared" si="2"/>
        <v/>
      </c>
      <c r="X8" s="18">
        <f t="shared" si="8"/>
        <v>0</v>
      </c>
      <c r="Y8" s="19" t="str">
        <f t="shared" si="3"/>
        <v/>
      </c>
    </row>
    <row r="9" spans="1:39" x14ac:dyDescent="0.25">
      <c r="A9" s="22"/>
      <c r="B9" s="127">
        <v>0</v>
      </c>
      <c r="C9" s="35" t="s">
        <v>63</v>
      </c>
      <c r="D9" s="23" t="s">
        <v>33</v>
      </c>
      <c r="E9" s="14" t="str">
        <f>IFERROR(IF(D9="Yes",VLOOKUP(C9,'Water Cost Data'!$A$5:$G$9,7,FALSE),VLOOKUP(C9,'Water Cost Data'!$A$5:$G$9,6,FALSE)),"")</f>
        <v/>
      </c>
      <c r="F9" s="15" t="str">
        <f t="shared" si="0"/>
        <v/>
      </c>
      <c r="G9" s="22" t="s">
        <v>31</v>
      </c>
      <c r="H9" s="127" t="s">
        <v>33</v>
      </c>
      <c r="I9" s="126">
        <f>IFERROR(IF(H9="Yes",VLOOKUP(G9,'Water Cost Data'!$A$5:$G$9,7,FALSE),VLOOKUP(G9,'Water Cost Data'!$A$5:$G$9,6,FALSE)),"")</f>
        <v>204</v>
      </c>
      <c r="J9" s="15">
        <f t="shared" si="1"/>
        <v>0</v>
      </c>
      <c r="K9" s="22">
        <v>0</v>
      </c>
      <c r="L9" s="24" t="s">
        <v>64</v>
      </c>
      <c r="M9" s="16">
        <f>IFERROR(VLOOKUP(L9,'Water Cost Data'!$H$5:$I$7,2,FALSE),0)</f>
        <v>1706</v>
      </c>
      <c r="N9" s="17">
        <f t="shared" si="4"/>
        <v>0</v>
      </c>
      <c r="O9" s="22">
        <v>0</v>
      </c>
      <c r="P9" s="132">
        <f>'Water Cost Data'!$L$5</f>
        <v>6554</v>
      </c>
      <c r="Q9" s="17">
        <f t="shared" si="5"/>
        <v>0</v>
      </c>
      <c r="R9" s="35">
        <v>0</v>
      </c>
      <c r="S9" s="25" t="s">
        <v>28</v>
      </c>
      <c r="T9" s="129">
        <f>IFERROR(VLOOKUP(S9,'Water Cost Data'!$J$5:$K$9,2,FALSE),0)</f>
        <v>19651</v>
      </c>
      <c r="U9" s="131">
        <f t="shared" si="6"/>
        <v>0</v>
      </c>
      <c r="V9" s="18">
        <f t="shared" si="7"/>
        <v>0</v>
      </c>
      <c r="W9" s="125" t="str">
        <f t="shared" si="2"/>
        <v/>
      </c>
      <c r="X9" s="18">
        <f t="shared" si="8"/>
        <v>0</v>
      </c>
      <c r="Y9" s="19" t="str">
        <f t="shared" si="3"/>
        <v/>
      </c>
    </row>
    <row r="10" spans="1:39" x14ac:dyDescent="0.25">
      <c r="A10" s="22"/>
      <c r="B10" s="127">
        <v>0</v>
      </c>
      <c r="C10" s="35" t="s">
        <v>63</v>
      </c>
      <c r="D10" s="23" t="s">
        <v>33</v>
      </c>
      <c r="E10" s="14" t="str">
        <f>IFERROR(IF(D10="Yes",VLOOKUP(C10,'Water Cost Data'!$A$5:$G$9,7,FALSE),VLOOKUP(C10,'Water Cost Data'!$A$5:$G$9,6,FALSE)),"")</f>
        <v/>
      </c>
      <c r="F10" s="15" t="str">
        <f t="shared" si="0"/>
        <v/>
      </c>
      <c r="G10" s="22" t="s">
        <v>31</v>
      </c>
      <c r="H10" s="127" t="s">
        <v>33</v>
      </c>
      <c r="I10" s="126">
        <f>IFERROR(IF(H10="Yes",VLOOKUP(G10,'Water Cost Data'!$A$5:$G$9,7,FALSE),VLOOKUP(G10,'Water Cost Data'!$A$5:$G$9,6,FALSE)),"")</f>
        <v>204</v>
      </c>
      <c r="J10" s="15">
        <f t="shared" si="1"/>
        <v>0</v>
      </c>
      <c r="K10" s="22">
        <v>0</v>
      </c>
      <c r="L10" s="24" t="s">
        <v>64</v>
      </c>
      <c r="M10" s="16">
        <f>IFERROR(VLOOKUP(L10,'Water Cost Data'!$H$5:$I$7,2,FALSE),0)</f>
        <v>1706</v>
      </c>
      <c r="N10" s="17">
        <f t="shared" si="4"/>
        <v>0</v>
      </c>
      <c r="O10" s="22">
        <v>0</v>
      </c>
      <c r="P10" s="132">
        <f>'Water Cost Data'!$L$5</f>
        <v>6554</v>
      </c>
      <c r="Q10" s="17">
        <f t="shared" si="5"/>
        <v>0</v>
      </c>
      <c r="R10" s="35">
        <v>0</v>
      </c>
      <c r="S10" s="25" t="s">
        <v>28</v>
      </c>
      <c r="T10" s="129">
        <f>IFERROR(VLOOKUP(S10,'Water Cost Data'!$J$5:$K$9,2,FALSE),0)</f>
        <v>19651</v>
      </c>
      <c r="U10" s="131">
        <f t="shared" si="6"/>
        <v>0</v>
      </c>
      <c r="V10" s="18">
        <f t="shared" si="7"/>
        <v>0</v>
      </c>
      <c r="W10" s="125" t="str">
        <f t="shared" si="2"/>
        <v/>
      </c>
      <c r="X10" s="18">
        <f t="shared" si="8"/>
        <v>0</v>
      </c>
      <c r="Y10" s="19" t="str">
        <f t="shared" si="3"/>
        <v/>
      </c>
    </row>
    <row r="11" spans="1:39" x14ac:dyDescent="0.25">
      <c r="A11" s="22"/>
      <c r="B11" s="127">
        <v>0</v>
      </c>
      <c r="C11" s="35" t="s">
        <v>63</v>
      </c>
      <c r="D11" s="23" t="s">
        <v>33</v>
      </c>
      <c r="E11" s="14" t="str">
        <f>IFERROR(IF(D11="Yes",VLOOKUP(C11,'Water Cost Data'!$A$5:$G$9,7,FALSE),VLOOKUP(C11,'Water Cost Data'!$A$5:$G$9,6,FALSE)),"")</f>
        <v/>
      </c>
      <c r="F11" s="15" t="str">
        <f t="shared" si="0"/>
        <v/>
      </c>
      <c r="G11" s="22" t="s">
        <v>31</v>
      </c>
      <c r="H11" s="127" t="s">
        <v>33</v>
      </c>
      <c r="I11" s="126">
        <f>IFERROR(IF(H11="Yes",VLOOKUP(G11,'Water Cost Data'!$A$5:$G$9,7,FALSE),VLOOKUP(G11,'Water Cost Data'!$A$5:$G$9,6,FALSE)),"")</f>
        <v>204</v>
      </c>
      <c r="J11" s="15">
        <f t="shared" si="1"/>
        <v>0</v>
      </c>
      <c r="K11" s="22">
        <v>0</v>
      </c>
      <c r="L11" s="24" t="s">
        <v>64</v>
      </c>
      <c r="M11" s="16">
        <f>IFERROR(VLOOKUP(L11,'Water Cost Data'!$H$5:$I$7,2,FALSE),0)</f>
        <v>1706</v>
      </c>
      <c r="N11" s="17">
        <f t="shared" si="4"/>
        <v>0</v>
      </c>
      <c r="O11" s="22">
        <v>0</v>
      </c>
      <c r="P11" s="132">
        <f>'Water Cost Data'!$L$5</f>
        <v>6554</v>
      </c>
      <c r="Q11" s="17">
        <f t="shared" si="5"/>
        <v>0</v>
      </c>
      <c r="R11" s="35">
        <v>0</v>
      </c>
      <c r="S11" s="25" t="s">
        <v>28</v>
      </c>
      <c r="T11" s="129">
        <f>IFERROR(VLOOKUP(S11,'Water Cost Data'!$J$5:$K$9,2,FALSE),0)</f>
        <v>19651</v>
      </c>
      <c r="U11" s="131">
        <f t="shared" si="6"/>
        <v>0</v>
      </c>
      <c r="V11" s="18">
        <f t="shared" si="7"/>
        <v>0</v>
      </c>
      <c r="W11" s="125" t="str">
        <f t="shared" si="2"/>
        <v/>
      </c>
      <c r="X11" s="18">
        <f t="shared" si="8"/>
        <v>0</v>
      </c>
      <c r="Y11" s="19" t="str">
        <f t="shared" si="3"/>
        <v/>
      </c>
    </row>
    <row r="12" spans="1:39" x14ac:dyDescent="0.25">
      <c r="A12" s="22"/>
      <c r="B12" s="127">
        <v>0</v>
      </c>
      <c r="C12" s="35" t="s">
        <v>63</v>
      </c>
      <c r="D12" s="23" t="s">
        <v>33</v>
      </c>
      <c r="E12" s="14" t="str">
        <f>IFERROR(IF(D12="Yes",VLOOKUP(C12,'Water Cost Data'!$A$5:$G$9,7,FALSE),VLOOKUP(C12,'Water Cost Data'!$A$5:$G$9,6,FALSE)),"")</f>
        <v/>
      </c>
      <c r="F12" s="15" t="str">
        <f t="shared" si="0"/>
        <v/>
      </c>
      <c r="G12" s="22" t="s">
        <v>31</v>
      </c>
      <c r="H12" s="127" t="s">
        <v>33</v>
      </c>
      <c r="I12" s="126">
        <f>IFERROR(IF(H12="Yes",VLOOKUP(G12,'Water Cost Data'!$A$5:$G$9,7,FALSE),VLOOKUP(G12,'Water Cost Data'!$A$5:$G$9,6,FALSE)),"")</f>
        <v>204</v>
      </c>
      <c r="J12" s="15">
        <f t="shared" si="1"/>
        <v>0</v>
      </c>
      <c r="K12" s="22">
        <v>0</v>
      </c>
      <c r="L12" s="24" t="s">
        <v>64</v>
      </c>
      <c r="M12" s="16">
        <f>IFERROR(VLOOKUP(L12,'Water Cost Data'!$H$5:$I$7,2,FALSE),0)</f>
        <v>1706</v>
      </c>
      <c r="N12" s="17">
        <f t="shared" si="4"/>
        <v>0</v>
      </c>
      <c r="O12" s="22">
        <v>0</v>
      </c>
      <c r="P12" s="132">
        <f>'Water Cost Data'!$L$5</f>
        <v>6554</v>
      </c>
      <c r="Q12" s="17">
        <f t="shared" si="5"/>
        <v>0</v>
      </c>
      <c r="R12" s="35">
        <v>0</v>
      </c>
      <c r="S12" s="25" t="s">
        <v>28</v>
      </c>
      <c r="T12" s="129">
        <f>IFERROR(VLOOKUP(S12,'Water Cost Data'!$J$5:$K$9,2,FALSE),0)</f>
        <v>19651</v>
      </c>
      <c r="U12" s="131">
        <f t="shared" si="6"/>
        <v>0</v>
      </c>
      <c r="V12" s="18">
        <f t="shared" si="7"/>
        <v>0</v>
      </c>
      <c r="W12" s="125" t="str">
        <f t="shared" si="2"/>
        <v/>
      </c>
      <c r="X12" s="18">
        <f t="shared" si="8"/>
        <v>0</v>
      </c>
      <c r="Y12" s="19" t="str">
        <f t="shared" si="3"/>
        <v/>
      </c>
    </row>
    <row r="13" spans="1:39" x14ac:dyDescent="0.25">
      <c r="A13" s="22"/>
      <c r="B13" s="127">
        <v>0</v>
      </c>
      <c r="C13" s="35" t="s">
        <v>63</v>
      </c>
      <c r="D13" s="23" t="s">
        <v>33</v>
      </c>
      <c r="E13" s="14" t="str">
        <f>IFERROR(IF(D13="Yes",VLOOKUP(C13,'Water Cost Data'!$A$5:$G$9,7,FALSE),VLOOKUP(C13,'Water Cost Data'!$A$5:$G$9,6,FALSE)),"")</f>
        <v/>
      </c>
      <c r="F13" s="15" t="str">
        <f t="shared" si="0"/>
        <v/>
      </c>
      <c r="G13" s="22" t="s">
        <v>31</v>
      </c>
      <c r="H13" s="127" t="s">
        <v>33</v>
      </c>
      <c r="I13" s="126">
        <f>IFERROR(IF(H13="Yes",VLOOKUP(G13,'Water Cost Data'!$A$5:$G$9,7,FALSE),VLOOKUP(G13,'Water Cost Data'!$A$5:$G$9,6,FALSE)),"")</f>
        <v>204</v>
      </c>
      <c r="J13" s="15">
        <f t="shared" si="1"/>
        <v>0</v>
      </c>
      <c r="K13" s="22">
        <v>0</v>
      </c>
      <c r="L13" s="24" t="s">
        <v>64</v>
      </c>
      <c r="M13" s="16">
        <f>IFERROR(VLOOKUP(L13,'Water Cost Data'!$H$5:$I$7,2,FALSE),0)</f>
        <v>1706</v>
      </c>
      <c r="N13" s="17">
        <f t="shared" si="4"/>
        <v>0</v>
      </c>
      <c r="O13" s="22">
        <v>0</v>
      </c>
      <c r="P13" s="132">
        <f>'Water Cost Data'!$L$5</f>
        <v>6554</v>
      </c>
      <c r="Q13" s="17">
        <f t="shared" si="5"/>
        <v>0</v>
      </c>
      <c r="R13" s="35">
        <v>0</v>
      </c>
      <c r="S13" s="25" t="s">
        <v>28</v>
      </c>
      <c r="T13" s="129">
        <f>IFERROR(VLOOKUP(S13,'Water Cost Data'!$J$5:$K$9,2,FALSE),0)</f>
        <v>19651</v>
      </c>
      <c r="U13" s="131">
        <f t="shared" si="6"/>
        <v>0</v>
      </c>
      <c r="V13" s="18">
        <f t="shared" si="7"/>
        <v>0</v>
      </c>
      <c r="W13" s="125" t="str">
        <f t="shared" si="2"/>
        <v/>
      </c>
      <c r="X13" s="18">
        <f t="shared" si="8"/>
        <v>0</v>
      </c>
      <c r="Y13" s="19" t="str">
        <f t="shared" si="3"/>
        <v/>
      </c>
    </row>
    <row r="14" spans="1:39" x14ac:dyDescent="0.25">
      <c r="A14" s="22"/>
      <c r="B14" s="127">
        <v>0</v>
      </c>
      <c r="C14" s="35" t="s">
        <v>63</v>
      </c>
      <c r="D14" s="23" t="s">
        <v>33</v>
      </c>
      <c r="E14" s="14" t="str">
        <f>IFERROR(IF(D14="Yes",VLOOKUP(C14,'Water Cost Data'!$A$5:$G$9,7,FALSE),VLOOKUP(C14,'Water Cost Data'!$A$5:$G$9,6,FALSE)),"")</f>
        <v/>
      </c>
      <c r="F14" s="15" t="str">
        <f t="shared" si="0"/>
        <v/>
      </c>
      <c r="G14" s="22" t="s">
        <v>31</v>
      </c>
      <c r="H14" s="127" t="s">
        <v>33</v>
      </c>
      <c r="I14" s="126">
        <f>IFERROR(IF(H14="Yes",VLOOKUP(G14,'Water Cost Data'!$A$5:$G$9,7,FALSE),VLOOKUP(G14,'Water Cost Data'!$A$5:$G$9,6,FALSE)),"")</f>
        <v>204</v>
      </c>
      <c r="J14" s="15">
        <f t="shared" si="1"/>
        <v>0</v>
      </c>
      <c r="K14" s="22">
        <v>0</v>
      </c>
      <c r="L14" s="24" t="s">
        <v>64</v>
      </c>
      <c r="M14" s="16">
        <f>IFERROR(VLOOKUP(L14,'Water Cost Data'!$H$5:$I$7,2,FALSE),0)</f>
        <v>1706</v>
      </c>
      <c r="N14" s="17">
        <f t="shared" si="4"/>
        <v>0</v>
      </c>
      <c r="O14" s="22">
        <v>0</v>
      </c>
      <c r="P14" s="132">
        <f>'Water Cost Data'!$L$5</f>
        <v>6554</v>
      </c>
      <c r="Q14" s="17">
        <f t="shared" si="5"/>
        <v>0</v>
      </c>
      <c r="R14" s="35">
        <v>0</v>
      </c>
      <c r="S14" s="25" t="s">
        <v>28</v>
      </c>
      <c r="T14" s="129">
        <f>IFERROR(VLOOKUP(S14,'Water Cost Data'!$J$5:$K$9,2,FALSE),0)</f>
        <v>19651</v>
      </c>
      <c r="U14" s="131">
        <f t="shared" si="6"/>
        <v>0</v>
      </c>
      <c r="V14" s="18">
        <f t="shared" si="7"/>
        <v>0</v>
      </c>
      <c r="W14" s="125" t="str">
        <f t="shared" si="2"/>
        <v/>
      </c>
      <c r="X14" s="18">
        <f t="shared" si="8"/>
        <v>0</v>
      </c>
      <c r="Y14" s="19" t="str">
        <f t="shared" si="3"/>
        <v/>
      </c>
    </row>
    <row r="15" spans="1:39" x14ac:dyDescent="0.25">
      <c r="A15" s="22"/>
      <c r="B15" s="127">
        <v>0</v>
      </c>
      <c r="C15" s="35" t="s">
        <v>63</v>
      </c>
      <c r="D15" s="23" t="s">
        <v>33</v>
      </c>
      <c r="E15" s="14" t="str">
        <f>IFERROR(IF(D15="Yes",VLOOKUP(C15,'Water Cost Data'!$A$5:$G$9,7,FALSE),VLOOKUP(C15,'Water Cost Data'!$A$5:$G$9,6,FALSE)),"")</f>
        <v/>
      </c>
      <c r="F15" s="15" t="str">
        <f t="shared" si="0"/>
        <v/>
      </c>
      <c r="G15" s="22" t="s">
        <v>31</v>
      </c>
      <c r="H15" s="127" t="s">
        <v>33</v>
      </c>
      <c r="I15" s="126">
        <f>IFERROR(IF(H15="Yes",VLOOKUP(G15,'Water Cost Data'!$A$5:$G$9,7,FALSE),VLOOKUP(G15,'Water Cost Data'!$A$5:$G$9,6,FALSE)),"")</f>
        <v>204</v>
      </c>
      <c r="J15" s="15">
        <f t="shared" si="1"/>
        <v>0</v>
      </c>
      <c r="K15" s="22">
        <v>0</v>
      </c>
      <c r="L15" s="24" t="s">
        <v>64</v>
      </c>
      <c r="M15" s="16">
        <f>IFERROR(VLOOKUP(L15,'Water Cost Data'!$H$5:$I$7,2,FALSE),0)</f>
        <v>1706</v>
      </c>
      <c r="N15" s="17">
        <f t="shared" si="4"/>
        <v>0</v>
      </c>
      <c r="O15" s="22">
        <v>0</v>
      </c>
      <c r="P15" s="132">
        <f>'Water Cost Data'!$L$5</f>
        <v>6554</v>
      </c>
      <c r="Q15" s="17">
        <f t="shared" si="5"/>
        <v>0</v>
      </c>
      <c r="R15" s="35">
        <v>0</v>
      </c>
      <c r="S15" s="25" t="s">
        <v>28</v>
      </c>
      <c r="T15" s="129">
        <f>IFERROR(VLOOKUP(S15,'Water Cost Data'!$J$5:$K$9,2,FALSE),0)</f>
        <v>19651</v>
      </c>
      <c r="U15" s="131">
        <f t="shared" si="6"/>
        <v>0</v>
      </c>
      <c r="V15" s="18">
        <f t="shared" si="7"/>
        <v>0</v>
      </c>
      <c r="W15" s="125" t="str">
        <f t="shared" si="2"/>
        <v/>
      </c>
      <c r="X15" s="18">
        <f t="shared" si="8"/>
        <v>0</v>
      </c>
      <c r="Y15" s="19" t="str">
        <f t="shared" si="3"/>
        <v/>
      </c>
    </row>
    <row r="16" spans="1:39" x14ac:dyDescent="0.25">
      <c r="A16" s="22"/>
      <c r="B16" s="127">
        <v>0</v>
      </c>
      <c r="C16" s="35" t="s">
        <v>63</v>
      </c>
      <c r="D16" s="23" t="s">
        <v>33</v>
      </c>
      <c r="E16" s="14" t="str">
        <f>IFERROR(IF(D16="Yes",VLOOKUP(C16,'Water Cost Data'!$A$5:$G$9,7,FALSE),VLOOKUP(C16,'Water Cost Data'!$A$5:$G$9,6,FALSE)),"")</f>
        <v/>
      </c>
      <c r="F16" s="15" t="str">
        <f t="shared" si="0"/>
        <v/>
      </c>
      <c r="G16" s="22" t="s">
        <v>31</v>
      </c>
      <c r="H16" s="127" t="s">
        <v>33</v>
      </c>
      <c r="I16" s="126">
        <f>IFERROR(IF(H16="Yes",VLOOKUP(G16,'Water Cost Data'!$A$5:$G$9,7,FALSE),VLOOKUP(G16,'Water Cost Data'!$A$5:$G$9,6,FALSE)),"")</f>
        <v>204</v>
      </c>
      <c r="J16" s="15">
        <f t="shared" si="1"/>
        <v>0</v>
      </c>
      <c r="K16" s="22">
        <v>0</v>
      </c>
      <c r="L16" s="24" t="s">
        <v>64</v>
      </c>
      <c r="M16" s="16">
        <f>IFERROR(VLOOKUP(L16,'Water Cost Data'!$H$5:$I$7,2,FALSE),0)</f>
        <v>1706</v>
      </c>
      <c r="N16" s="17">
        <f t="shared" si="4"/>
        <v>0</v>
      </c>
      <c r="O16" s="22">
        <v>0</v>
      </c>
      <c r="P16" s="132">
        <f>'Water Cost Data'!$L$5</f>
        <v>6554</v>
      </c>
      <c r="Q16" s="17">
        <f t="shared" si="5"/>
        <v>0</v>
      </c>
      <c r="R16" s="35">
        <v>0</v>
      </c>
      <c r="S16" s="25" t="s">
        <v>28</v>
      </c>
      <c r="T16" s="129">
        <f>IFERROR(VLOOKUP(S16,'Water Cost Data'!$J$5:$K$9,2,FALSE),0)</f>
        <v>19651</v>
      </c>
      <c r="U16" s="131">
        <f t="shared" si="6"/>
        <v>0</v>
      </c>
      <c r="V16" s="18">
        <f t="shared" si="7"/>
        <v>0</v>
      </c>
      <c r="W16" s="125" t="str">
        <f t="shared" si="2"/>
        <v/>
      </c>
      <c r="X16" s="18">
        <f t="shared" si="8"/>
        <v>0</v>
      </c>
      <c r="Y16" s="19" t="str">
        <f t="shared" si="3"/>
        <v/>
      </c>
    </row>
    <row r="17" spans="1:25" x14ac:dyDescent="0.25">
      <c r="A17" s="22"/>
      <c r="B17" s="127">
        <v>0</v>
      </c>
      <c r="C17" s="35" t="s">
        <v>63</v>
      </c>
      <c r="D17" s="23" t="s">
        <v>33</v>
      </c>
      <c r="E17" s="14" t="str">
        <f>IFERROR(IF(D17="Yes",VLOOKUP(C17,'Water Cost Data'!$A$5:$G$9,7,FALSE),VLOOKUP(C17,'Water Cost Data'!$A$5:$G$9,6,FALSE)),"")</f>
        <v/>
      </c>
      <c r="F17" s="15" t="str">
        <f t="shared" si="0"/>
        <v/>
      </c>
      <c r="G17" s="22" t="s">
        <v>31</v>
      </c>
      <c r="H17" s="127" t="s">
        <v>33</v>
      </c>
      <c r="I17" s="126">
        <f>IFERROR(IF(H17="Yes",VLOOKUP(G17,'Water Cost Data'!$A$5:$G$9,7,FALSE),VLOOKUP(G17,'Water Cost Data'!$A$5:$G$9,6,FALSE)),"")</f>
        <v>204</v>
      </c>
      <c r="J17" s="15">
        <f t="shared" si="1"/>
        <v>0</v>
      </c>
      <c r="K17" s="22">
        <v>0</v>
      </c>
      <c r="L17" s="24" t="s">
        <v>64</v>
      </c>
      <c r="M17" s="16">
        <f>IFERROR(VLOOKUP(L17,'Water Cost Data'!$H$5:$I$7,2,FALSE),0)</f>
        <v>1706</v>
      </c>
      <c r="N17" s="17">
        <f t="shared" si="4"/>
        <v>0</v>
      </c>
      <c r="O17" s="22">
        <v>0</v>
      </c>
      <c r="P17" s="132">
        <f>'Water Cost Data'!$L$5</f>
        <v>6554</v>
      </c>
      <c r="Q17" s="17">
        <f t="shared" si="5"/>
        <v>0</v>
      </c>
      <c r="R17" s="35">
        <v>0</v>
      </c>
      <c r="S17" s="25" t="s">
        <v>28</v>
      </c>
      <c r="T17" s="129">
        <f>IFERROR(VLOOKUP(S17,'Water Cost Data'!$J$5:$K$9,2,FALSE),0)</f>
        <v>19651</v>
      </c>
      <c r="U17" s="131">
        <f t="shared" si="6"/>
        <v>0</v>
      </c>
      <c r="V17" s="18">
        <f t="shared" si="7"/>
        <v>0</v>
      </c>
      <c r="W17" s="125" t="str">
        <f t="shared" si="2"/>
        <v/>
      </c>
      <c r="X17" s="18">
        <f t="shared" si="8"/>
        <v>0</v>
      </c>
      <c r="Y17" s="19" t="str">
        <f t="shared" si="3"/>
        <v/>
      </c>
    </row>
    <row r="18" spans="1:25" x14ac:dyDescent="0.25">
      <c r="A18" s="22"/>
      <c r="B18" s="127">
        <v>0</v>
      </c>
      <c r="C18" s="35" t="s">
        <v>63</v>
      </c>
      <c r="D18" s="23" t="s">
        <v>33</v>
      </c>
      <c r="E18" s="14" t="str">
        <f>IFERROR(IF(D18="Yes",VLOOKUP(C18,'Water Cost Data'!$A$5:$G$9,7,FALSE),VLOOKUP(C18,'Water Cost Data'!$A$5:$G$9,6,FALSE)),"")</f>
        <v/>
      </c>
      <c r="F18" s="15" t="str">
        <f t="shared" si="0"/>
        <v/>
      </c>
      <c r="G18" s="22" t="s">
        <v>31</v>
      </c>
      <c r="H18" s="127" t="s">
        <v>33</v>
      </c>
      <c r="I18" s="126">
        <f>IFERROR(IF(H18="Yes",VLOOKUP(G18,'Water Cost Data'!$A$5:$G$9,7,FALSE),VLOOKUP(G18,'Water Cost Data'!$A$5:$G$9,6,FALSE)),"")</f>
        <v>204</v>
      </c>
      <c r="J18" s="15">
        <f t="shared" si="1"/>
        <v>0</v>
      </c>
      <c r="K18" s="22">
        <v>0</v>
      </c>
      <c r="L18" s="24" t="s">
        <v>64</v>
      </c>
      <c r="M18" s="16">
        <f>IFERROR(VLOOKUP(L18,'Water Cost Data'!$H$5:$I$7,2,FALSE),0)</f>
        <v>1706</v>
      </c>
      <c r="N18" s="17">
        <f t="shared" si="4"/>
        <v>0</v>
      </c>
      <c r="O18" s="22">
        <v>0</v>
      </c>
      <c r="P18" s="132">
        <f>'Water Cost Data'!$L$5</f>
        <v>6554</v>
      </c>
      <c r="Q18" s="17">
        <f t="shared" si="5"/>
        <v>0</v>
      </c>
      <c r="R18" s="35">
        <v>0</v>
      </c>
      <c r="S18" s="25" t="s">
        <v>28</v>
      </c>
      <c r="T18" s="129">
        <f>IFERROR(VLOOKUP(S18,'Water Cost Data'!$J$5:$K$9,2,FALSE),0)</f>
        <v>19651</v>
      </c>
      <c r="U18" s="131">
        <f t="shared" si="6"/>
        <v>0</v>
      </c>
      <c r="V18" s="18">
        <f t="shared" si="7"/>
        <v>0</v>
      </c>
      <c r="W18" s="125" t="str">
        <f t="shared" si="2"/>
        <v/>
      </c>
      <c r="X18" s="18">
        <f t="shared" si="8"/>
        <v>0</v>
      </c>
      <c r="Y18" s="19" t="str">
        <f t="shared" si="3"/>
        <v/>
      </c>
    </row>
    <row r="19" spans="1:25" x14ac:dyDescent="0.25">
      <c r="A19" s="22"/>
      <c r="B19" s="127">
        <v>0</v>
      </c>
      <c r="C19" s="35" t="s">
        <v>63</v>
      </c>
      <c r="D19" s="23" t="s">
        <v>33</v>
      </c>
      <c r="E19" s="14" t="str">
        <f>IFERROR(IF(D19="Yes",VLOOKUP(C19,'Water Cost Data'!$A$5:$G$9,7,FALSE),VLOOKUP(C19,'Water Cost Data'!$A$5:$G$9,6,FALSE)),"")</f>
        <v/>
      </c>
      <c r="F19" s="15" t="str">
        <f t="shared" si="0"/>
        <v/>
      </c>
      <c r="G19" s="22" t="s">
        <v>31</v>
      </c>
      <c r="H19" s="127" t="s">
        <v>33</v>
      </c>
      <c r="I19" s="126">
        <f>IFERROR(IF(H19="Yes",VLOOKUP(G19,'Water Cost Data'!$A$5:$G$9,7,FALSE),VLOOKUP(G19,'Water Cost Data'!$A$5:$G$9,6,FALSE)),"")</f>
        <v>204</v>
      </c>
      <c r="J19" s="15">
        <f t="shared" si="1"/>
        <v>0</v>
      </c>
      <c r="K19" s="22">
        <v>0</v>
      </c>
      <c r="L19" s="24" t="s">
        <v>64</v>
      </c>
      <c r="M19" s="16">
        <f>IFERROR(VLOOKUP(L19,'Water Cost Data'!$H$5:$I$7,2,FALSE),0)</f>
        <v>1706</v>
      </c>
      <c r="N19" s="17">
        <f t="shared" si="4"/>
        <v>0</v>
      </c>
      <c r="O19" s="22">
        <v>0</v>
      </c>
      <c r="P19" s="132">
        <f>'Water Cost Data'!$L$5</f>
        <v>6554</v>
      </c>
      <c r="Q19" s="17">
        <f t="shared" si="5"/>
        <v>0</v>
      </c>
      <c r="R19" s="35">
        <v>0</v>
      </c>
      <c r="S19" s="25" t="s">
        <v>28</v>
      </c>
      <c r="T19" s="129">
        <f>IFERROR(VLOOKUP(S19,'Water Cost Data'!$J$5:$K$9,2,FALSE),0)</f>
        <v>19651</v>
      </c>
      <c r="U19" s="131">
        <f t="shared" si="6"/>
        <v>0</v>
      </c>
      <c r="V19" s="18">
        <f t="shared" si="7"/>
        <v>0</v>
      </c>
      <c r="W19" s="125" t="str">
        <f t="shared" si="2"/>
        <v/>
      </c>
      <c r="X19" s="18">
        <f t="shared" si="8"/>
        <v>0</v>
      </c>
      <c r="Y19" s="19" t="str">
        <f t="shared" si="3"/>
        <v/>
      </c>
    </row>
    <row r="20" spans="1:25" x14ac:dyDescent="0.25">
      <c r="A20" s="22"/>
      <c r="B20" s="127">
        <v>0</v>
      </c>
      <c r="C20" s="35" t="s">
        <v>63</v>
      </c>
      <c r="D20" s="23" t="s">
        <v>33</v>
      </c>
      <c r="E20" s="14" t="str">
        <f>IFERROR(IF(D20="Yes",VLOOKUP(C20,'Water Cost Data'!$A$5:$G$9,7,FALSE),VLOOKUP(C20,'Water Cost Data'!$A$5:$G$9,6,FALSE)),"")</f>
        <v/>
      </c>
      <c r="F20" s="15" t="str">
        <f t="shared" si="0"/>
        <v/>
      </c>
      <c r="G20" s="22" t="s">
        <v>31</v>
      </c>
      <c r="H20" s="127" t="s">
        <v>33</v>
      </c>
      <c r="I20" s="126">
        <f>IFERROR(IF(H20="Yes",VLOOKUP(G20,'Water Cost Data'!$A$5:$G$9,7,FALSE),VLOOKUP(G20,'Water Cost Data'!$A$5:$G$9,6,FALSE)),"")</f>
        <v>204</v>
      </c>
      <c r="J20" s="15">
        <f t="shared" si="1"/>
        <v>0</v>
      </c>
      <c r="K20" s="22">
        <v>0</v>
      </c>
      <c r="L20" s="24" t="s">
        <v>64</v>
      </c>
      <c r="M20" s="16">
        <f>IFERROR(VLOOKUP(L20,'Water Cost Data'!$H$5:$I$7,2,FALSE),0)</f>
        <v>1706</v>
      </c>
      <c r="N20" s="17">
        <f t="shared" si="4"/>
        <v>0</v>
      </c>
      <c r="O20" s="22">
        <v>0</v>
      </c>
      <c r="P20" s="132">
        <f>'Water Cost Data'!$L$5</f>
        <v>6554</v>
      </c>
      <c r="Q20" s="17">
        <f t="shared" si="5"/>
        <v>0</v>
      </c>
      <c r="R20" s="35">
        <v>0</v>
      </c>
      <c r="S20" s="25" t="s">
        <v>28</v>
      </c>
      <c r="T20" s="129">
        <f>IFERROR(VLOOKUP(S20,'Water Cost Data'!$J$5:$K$9,2,FALSE),0)</f>
        <v>19651</v>
      </c>
      <c r="U20" s="131">
        <f t="shared" si="6"/>
        <v>0</v>
      </c>
      <c r="V20" s="18">
        <f t="shared" si="7"/>
        <v>0</v>
      </c>
      <c r="W20" s="125" t="str">
        <f t="shared" si="2"/>
        <v/>
      </c>
      <c r="X20" s="18">
        <f t="shared" si="8"/>
        <v>0</v>
      </c>
      <c r="Y20" s="19" t="str">
        <f t="shared" si="3"/>
        <v/>
      </c>
    </row>
    <row r="21" spans="1:25" x14ac:dyDescent="0.25">
      <c r="A21" s="22"/>
      <c r="B21" s="127">
        <v>0</v>
      </c>
      <c r="C21" s="35" t="s">
        <v>63</v>
      </c>
      <c r="D21" s="23" t="s">
        <v>33</v>
      </c>
      <c r="E21" s="14" t="str">
        <f>IFERROR(IF(D21="Yes",VLOOKUP(C21,'Water Cost Data'!$A$5:$G$9,7,FALSE),VLOOKUP(C21,'Water Cost Data'!$A$5:$G$9,6,FALSE)),"")</f>
        <v/>
      </c>
      <c r="F21" s="15" t="str">
        <f t="shared" si="0"/>
        <v/>
      </c>
      <c r="G21" s="22" t="s">
        <v>31</v>
      </c>
      <c r="H21" s="127" t="s">
        <v>33</v>
      </c>
      <c r="I21" s="126">
        <f>IFERROR(IF(H21="Yes",VLOOKUP(G21,'Water Cost Data'!$A$5:$G$9,7,FALSE),VLOOKUP(G21,'Water Cost Data'!$A$5:$G$9,6,FALSE)),"")</f>
        <v>204</v>
      </c>
      <c r="J21" s="15">
        <f t="shared" si="1"/>
        <v>0</v>
      </c>
      <c r="K21" s="22">
        <v>0</v>
      </c>
      <c r="L21" s="24" t="s">
        <v>64</v>
      </c>
      <c r="M21" s="16">
        <f>IFERROR(VLOOKUP(L21,'Water Cost Data'!$H$5:$I$7,2,FALSE),0)</f>
        <v>1706</v>
      </c>
      <c r="N21" s="17">
        <f t="shared" si="4"/>
        <v>0</v>
      </c>
      <c r="O21" s="22">
        <v>0</v>
      </c>
      <c r="P21" s="132">
        <f>'Water Cost Data'!$L$5</f>
        <v>6554</v>
      </c>
      <c r="Q21" s="17">
        <f t="shared" si="5"/>
        <v>0</v>
      </c>
      <c r="R21" s="35">
        <v>0</v>
      </c>
      <c r="S21" s="25" t="s">
        <v>28</v>
      </c>
      <c r="T21" s="129">
        <f>IFERROR(VLOOKUP(S21,'Water Cost Data'!$J$5:$K$9,2,FALSE),0)</f>
        <v>19651</v>
      </c>
      <c r="U21" s="131">
        <f t="shared" si="6"/>
        <v>0</v>
      </c>
      <c r="V21" s="18">
        <f t="shared" si="7"/>
        <v>0</v>
      </c>
      <c r="W21" s="125" t="str">
        <f t="shared" si="2"/>
        <v/>
      </c>
      <c r="X21" s="18">
        <f t="shared" si="8"/>
        <v>0</v>
      </c>
      <c r="Y21" s="19" t="str">
        <f t="shared" si="3"/>
        <v/>
      </c>
    </row>
    <row r="22" spans="1:25" x14ac:dyDescent="0.25">
      <c r="A22" s="22"/>
      <c r="B22" s="127">
        <v>0</v>
      </c>
      <c r="C22" s="35" t="s">
        <v>63</v>
      </c>
      <c r="D22" s="23" t="s">
        <v>33</v>
      </c>
      <c r="E22" s="14" t="str">
        <f>IFERROR(IF(D22="Yes",VLOOKUP(C22,'Water Cost Data'!$A$5:$G$9,7,FALSE),VLOOKUP(C22,'Water Cost Data'!$A$5:$G$9,6,FALSE)),"")</f>
        <v/>
      </c>
      <c r="F22" s="15" t="str">
        <f t="shared" si="0"/>
        <v/>
      </c>
      <c r="G22" s="22" t="s">
        <v>31</v>
      </c>
      <c r="H22" s="127" t="s">
        <v>33</v>
      </c>
      <c r="I22" s="126">
        <f>IFERROR(IF(H22="Yes",VLOOKUP(G22,'Water Cost Data'!$A$5:$G$9,7,FALSE),VLOOKUP(G22,'Water Cost Data'!$A$5:$G$9,6,FALSE)),"")</f>
        <v>204</v>
      </c>
      <c r="J22" s="15">
        <f t="shared" si="1"/>
        <v>0</v>
      </c>
      <c r="K22" s="22">
        <v>0</v>
      </c>
      <c r="L22" s="24" t="s">
        <v>64</v>
      </c>
      <c r="M22" s="16">
        <f>IFERROR(VLOOKUP(L22,'Water Cost Data'!$H$5:$I$7,2,FALSE),0)</f>
        <v>1706</v>
      </c>
      <c r="N22" s="17">
        <f t="shared" si="4"/>
        <v>0</v>
      </c>
      <c r="O22" s="22">
        <v>0</v>
      </c>
      <c r="P22" s="132">
        <f>'Water Cost Data'!$L$5</f>
        <v>6554</v>
      </c>
      <c r="Q22" s="17">
        <f t="shared" si="5"/>
        <v>0</v>
      </c>
      <c r="R22" s="35">
        <v>0</v>
      </c>
      <c r="S22" s="25" t="s">
        <v>28</v>
      </c>
      <c r="T22" s="129">
        <f>IFERROR(VLOOKUP(S22,'Water Cost Data'!$J$5:$K$9,2,FALSE),0)</f>
        <v>19651</v>
      </c>
      <c r="U22" s="131">
        <f t="shared" si="6"/>
        <v>0</v>
      </c>
      <c r="V22" s="18">
        <f t="shared" si="7"/>
        <v>0</v>
      </c>
      <c r="W22" s="125" t="str">
        <f t="shared" si="2"/>
        <v/>
      </c>
      <c r="X22" s="18">
        <f t="shared" si="8"/>
        <v>0</v>
      </c>
      <c r="Y22" s="19" t="str">
        <f t="shared" si="3"/>
        <v/>
      </c>
    </row>
    <row r="23" spans="1:25" x14ac:dyDescent="0.25">
      <c r="A23" s="22"/>
      <c r="B23" s="127">
        <v>0</v>
      </c>
      <c r="C23" s="35" t="s">
        <v>63</v>
      </c>
      <c r="D23" s="23" t="s">
        <v>33</v>
      </c>
      <c r="E23" s="14" t="str">
        <f>IFERROR(IF(D23="Yes",VLOOKUP(C23,'Water Cost Data'!$A$5:$G$9,7,FALSE),VLOOKUP(C23,'Water Cost Data'!$A$5:$G$9,6,FALSE)),"")</f>
        <v/>
      </c>
      <c r="F23" s="15" t="str">
        <f t="shared" si="0"/>
        <v/>
      </c>
      <c r="G23" s="22" t="s">
        <v>31</v>
      </c>
      <c r="H23" s="127" t="s">
        <v>33</v>
      </c>
      <c r="I23" s="126">
        <f>IFERROR(IF(H23="Yes",VLOOKUP(G23,'Water Cost Data'!$A$5:$G$9,7,FALSE),VLOOKUP(G23,'Water Cost Data'!$A$5:$G$9,6,FALSE)),"")</f>
        <v>204</v>
      </c>
      <c r="J23" s="15">
        <f t="shared" si="1"/>
        <v>0</v>
      </c>
      <c r="K23" s="22">
        <v>0</v>
      </c>
      <c r="L23" s="24" t="s">
        <v>64</v>
      </c>
      <c r="M23" s="16">
        <f>IFERROR(VLOOKUP(L23,'Water Cost Data'!$H$5:$I$7,2,FALSE),0)</f>
        <v>1706</v>
      </c>
      <c r="N23" s="17">
        <f t="shared" si="4"/>
        <v>0</v>
      </c>
      <c r="O23" s="22">
        <v>0</v>
      </c>
      <c r="P23" s="132">
        <f>'Water Cost Data'!$L$5</f>
        <v>6554</v>
      </c>
      <c r="Q23" s="17">
        <f t="shared" si="5"/>
        <v>0</v>
      </c>
      <c r="R23" s="35">
        <v>0</v>
      </c>
      <c r="S23" s="25" t="s">
        <v>28</v>
      </c>
      <c r="T23" s="129">
        <f>IFERROR(VLOOKUP(S23,'Water Cost Data'!$J$5:$K$9,2,FALSE),0)</f>
        <v>19651</v>
      </c>
      <c r="U23" s="131">
        <f t="shared" si="6"/>
        <v>0</v>
      </c>
      <c r="V23" s="18">
        <f t="shared" si="7"/>
        <v>0</v>
      </c>
      <c r="W23" s="125" t="str">
        <f t="shared" si="2"/>
        <v/>
      </c>
      <c r="X23" s="18">
        <f t="shared" si="8"/>
        <v>0</v>
      </c>
      <c r="Y23" s="19" t="str">
        <f t="shared" si="3"/>
        <v/>
      </c>
    </row>
  </sheetData>
  <sheetProtection algorithmName="SHA-512" hashValue="/x+1+eRchY4TI8FD0VtRf2ZBWSZEpkS2U/iYR36VchYJfijRXd092DKtch7jmA+vdslxvbqAmq2mYRP0RYagNg==" saltValue="0F0UdO003gf1eqMgjvizdA==" spinCount="100000" sheet="1" formatCells="0" formatColumns="0" formatRows="0"/>
  <mergeCells count="7">
    <mergeCell ref="O1:Q1"/>
    <mergeCell ref="R1:U1"/>
    <mergeCell ref="V1:W1"/>
    <mergeCell ref="X1:Y1"/>
    <mergeCell ref="C1:F1"/>
    <mergeCell ref="G1:J1"/>
    <mergeCell ref="K1:N1"/>
  </mergeCells>
  <dataValidations count="1">
    <dataValidation type="list" allowBlank="1" showInputMessage="1" showErrorMessage="1" sqref="H3:H23" xr:uid="{00000000-0002-0000-0300-000000000000}">
      <formula1>$A$55:$A$56</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1000000}">
          <x14:formula1>
            <xm:f>Data!$A$58:$A$59</xm:f>
          </x14:formula1>
          <xm:sqref>D3:D23</xm:sqref>
        </x14:dataValidation>
        <x14:dataValidation type="list" allowBlank="1" showInputMessage="1" showErrorMessage="1" xr:uid="{00000000-0002-0000-0300-000002000000}">
          <x14:formula1>
            <xm:f>'Water Cost Data'!$A$5:$A$9</xm:f>
          </x14:formula1>
          <xm:sqref>G3:G23</xm:sqref>
        </x14:dataValidation>
        <x14:dataValidation type="list" allowBlank="1" showInputMessage="1" showErrorMessage="1" xr:uid="{00000000-0002-0000-0300-000003000000}">
          <x14:formula1>
            <xm:f>'Water Cost Data'!$H$5:$H$7</xm:f>
          </x14:formula1>
          <xm:sqref>L3:L23</xm:sqref>
        </x14:dataValidation>
        <x14:dataValidation type="list" allowBlank="1" showInputMessage="1" showErrorMessage="1" xr:uid="{00000000-0002-0000-0300-000004000000}">
          <x14:formula1>
            <xm:f>'Water Cost Data'!$J$5:$J$9</xm:f>
          </x14:formula1>
          <xm:sqref>S3:S23</xm:sqref>
        </x14:dataValidation>
        <x14:dataValidation type="list" allowBlank="1" showInputMessage="1" showErrorMessage="1" xr:uid="{D22D4EBC-12B3-4834-A0A0-5F910E19B9A5}">
          <x14:formula1>
            <xm:f>Data!$A$27:$A$35</xm:f>
          </x14:formula1>
          <xm:sqref>C3:C23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9"/>
  <sheetViews>
    <sheetView zoomScale="115" zoomScaleNormal="115" workbookViewId="0">
      <selection activeCell="N23" sqref="N23"/>
    </sheetView>
  </sheetViews>
  <sheetFormatPr defaultRowHeight="13.2" x14ac:dyDescent="0.25"/>
  <cols>
    <col min="1" max="1" width="9.6640625" customWidth="1"/>
    <col min="2" max="2" width="9.44140625" hidden="1" customWidth="1"/>
    <col min="3" max="4" width="10.6640625" hidden="1" customWidth="1"/>
    <col min="5" max="5" width="10.33203125" hidden="1" customWidth="1"/>
    <col min="6" max="7" width="10.6640625" customWidth="1"/>
    <col min="8" max="8" width="9.6640625" customWidth="1"/>
    <col min="9" max="9" width="10.44140625" bestFit="1" customWidth="1"/>
    <col min="11" max="11" width="11.44140625" bestFit="1" customWidth="1"/>
    <col min="12" max="12" width="10.44140625" bestFit="1" customWidth="1"/>
  </cols>
  <sheetData>
    <row r="1" spans="1:12" ht="3" customHeight="1" x14ac:dyDescent="0.25">
      <c r="A1" s="258" t="s">
        <v>35</v>
      </c>
      <c r="B1" s="259"/>
      <c r="C1" s="259"/>
      <c r="D1" s="259"/>
      <c r="E1" s="259"/>
      <c r="F1" s="259"/>
      <c r="G1" s="260"/>
      <c r="H1" s="268" t="s">
        <v>5</v>
      </c>
      <c r="I1" s="269"/>
      <c r="J1" s="258" t="s">
        <v>61</v>
      </c>
      <c r="K1" s="260"/>
      <c r="L1" s="253" t="s">
        <v>65</v>
      </c>
    </row>
    <row r="2" spans="1:12" x14ac:dyDescent="0.25">
      <c r="A2" s="261"/>
      <c r="B2" s="262"/>
      <c r="C2" s="262"/>
      <c r="D2" s="262"/>
      <c r="E2" s="262"/>
      <c r="F2" s="262"/>
      <c r="G2" s="263"/>
      <c r="H2" s="270"/>
      <c r="I2" s="271"/>
      <c r="J2" s="261"/>
      <c r="K2" s="263"/>
      <c r="L2" s="254"/>
    </row>
    <row r="3" spans="1:12" ht="12.75" customHeight="1" x14ac:dyDescent="0.25">
      <c r="A3" s="264" t="s">
        <v>37</v>
      </c>
      <c r="B3" s="266" t="s">
        <v>30</v>
      </c>
      <c r="C3" s="251" t="s">
        <v>66</v>
      </c>
      <c r="D3" s="251" t="s">
        <v>67</v>
      </c>
      <c r="E3" s="251" t="s">
        <v>68</v>
      </c>
      <c r="F3" s="251" t="s">
        <v>26</v>
      </c>
      <c r="G3" s="251" t="s">
        <v>39</v>
      </c>
      <c r="H3" s="272" t="s">
        <v>37</v>
      </c>
      <c r="I3" s="256" t="s">
        <v>69</v>
      </c>
      <c r="J3" s="274" t="s">
        <v>37</v>
      </c>
      <c r="K3" s="266" t="s">
        <v>69</v>
      </c>
      <c r="L3" s="255" t="s">
        <v>69</v>
      </c>
    </row>
    <row r="4" spans="1:12" x14ac:dyDescent="0.25">
      <c r="A4" s="265"/>
      <c r="B4" s="267"/>
      <c r="C4" s="252"/>
      <c r="D4" s="252"/>
      <c r="E4" s="252"/>
      <c r="F4" s="252"/>
      <c r="G4" s="252"/>
      <c r="H4" s="273"/>
      <c r="I4" s="257"/>
      <c r="J4" s="275"/>
      <c r="K4" s="267"/>
      <c r="L4" s="255"/>
    </row>
    <row r="5" spans="1:12" x14ac:dyDescent="0.25">
      <c r="A5" s="53" t="s">
        <v>70</v>
      </c>
      <c r="B5" s="54">
        <v>43.649573999999994</v>
      </c>
      <c r="C5" s="54">
        <v>19.172021999999998</v>
      </c>
      <c r="D5" s="54">
        <v>3.4820759999999997</v>
      </c>
      <c r="E5" s="54">
        <v>22.771306191521944</v>
      </c>
      <c r="F5" s="113">
        <v>160</v>
      </c>
      <c r="G5" s="114">
        <v>269</v>
      </c>
      <c r="H5" s="112" t="s">
        <v>64</v>
      </c>
      <c r="I5" s="55">
        <v>1706</v>
      </c>
      <c r="J5" s="56" t="s">
        <v>63</v>
      </c>
      <c r="K5" s="57">
        <v>6719</v>
      </c>
      <c r="L5" s="55">
        <v>6554</v>
      </c>
    </row>
    <row r="6" spans="1:12" x14ac:dyDescent="0.25">
      <c r="A6" s="53" t="s">
        <v>28</v>
      </c>
      <c r="B6" s="54">
        <v>50.850672000000003</v>
      </c>
      <c r="C6" s="54">
        <v>19.172021999999998</v>
      </c>
      <c r="D6" s="54">
        <v>3.9250620000000001</v>
      </c>
      <c r="E6" s="54">
        <v>22.771306191521944</v>
      </c>
      <c r="F6" s="113">
        <v>166</v>
      </c>
      <c r="G6" s="114">
        <v>337</v>
      </c>
      <c r="H6" s="112" t="s">
        <v>71</v>
      </c>
      <c r="I6" s="55">
        <v>1782</v>
      </c>
      <c r="J6" s="56" t="s">
        <v>72</v>
      </c>
      <c r="K6" s="57">
        <v>12261</v>
      </c>
      <c r="L6" s="52"/>
    </row>
    <row r="7" spans="1:12" x14ac:dyDescent="0.25">
      <c r="A7" s="53" t="s">
        <v>31</v>
      </c>
      <c r="B7" s="54">
        <v>73.515072000000004</v>
      </c>
      <c r="C7" s="54">
        <v>19.172021999999998</v>
      </c>
      <c r="D7" s="54">
        <v>5.6454960000000005</v>
      </c>
      <c r="E7" s="54">
        <v>22.771306191521944</v>
      </c>
      <c r="F7" s="113">
        <v>204</v>
      </c>
      <c r="G7" s="114">
        <v>587</v>
      </c>
      <c r="H7" s="112" t="s">
        <v>63</v>
      </c>
      <c r="I7" s="55">
        <v>9420</v>
      </c>
      <c r="J7" s="56" t="s">
        <v>70</v>
      </c>
      <c r="K7" s="57">
        <v>15958</v>
      </c>
      <c r="L7" s="52"/>
    </row>
    <row r="8" spans="1:12" x14ac:dyDescent="0.25">
      <c r="A8" s="53" t="s">
        <v>34</v>
      </c>
      <c r="B8" s="54">
        <v>120.0183</v>
      </c>
      <c r="C8" s="54">
        <v>19.172021999999998</v>
      </c>
      <c r="D8" s="54">
        <v>12.403607999999998</v>
      </c>
      <c r="E8" s="54">
        <v>22.771306191521944</v>
      </c>
      <c r="F8" s="113">
        <v>275</v>
      </c>
      <c r="G8" s="114">
        <v>756</v>
      </c>
      <c r="H8" s="110"/>
      <c r="I8" s="111"/>
      <c r="J8" s="56" t="s">
        <v>28</v>
      </c>
      <c r="K8" s="57">
        <v>19651</v>
      </c>
      <c r="L8" s="52"/>
    </row>
    <row r="9" spans="1:12" x14ac:dyDescent="0.25">
      <c r="A9" s="53" t="s">
        <v>50</v>
      </c>
      <c r="B9" s="54">
        <v>132.30858600000002</v>
      </c>
      <c r="C9" s="54">
        <v>19.172021999999998</v>
      </c>
      <c r="D9" s="54">
        <v>19.244136000000001</v>
      </c>
      <c r="E9" s="54">
        <v>22.771306191521944</v>
      </c>
      <c r="F9" s="113">
        <v>289</v>
      </c>
      <c r="G9" s="114">
        <v>924</v>
      </c>
      <c r="H9" s="52"/>
      <c r="I9" s="52"/>
      <c r="J9" s="56" t="s">
        <v>31</v>
      </c>
      <c r="K9" s="57">
        <v>27042</v>
      </c>
      <c r="L9" s="52"/>
    </row>
  </sheetData>
  <sheetProtection sheet="1" formatCells="0" formatColumns="0" formatRows="0" insertColumns="0" insertRows="0" insertHyperlinks="0" deleteColumns="0" deleteRows="0" sort="0" autoFilter="0" pivotTables="0"/>
  <mergeCells count="16">
    <mergeCell ref="F3:F4"/>
    <mergeCell ref="E3:E4"/>
    <mergeCell ref="L1:L2"/>
    <mergeCell ref="L3:L4"/>
    <mergeCell ref="I3:I4"/>
    <mergeCell ref="A1:G2"/>
    <mergeCell ref="A3:A4"/>
    <mergeCell ref="G3:G4"/>
    <mergeCell ref="B3:B4"/>
    <mergeCell ref="H1:I2"/>
    <mergeCell ref="H3:H4"/>
    <mergeCell ref="J1:K2"/>
    <mergeCell ref="J3:J4"/>
    <mergeCell ref="K3:K4"/>
    <mergeCell ref="D3:D4"/>
    <mergeCell ref="C3:C4"/>
  </mergeCells>
  <pageMargins left="0.7" right="0.7" top="0.75" bottom="0.75" header="0.3" footer="0.3"/>
  <pageSetup orientation="portrait" horizontalDpi="300" verticalDpi="0" copies="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8"/>
  <sheetViews>
    <sheetView topLeftCell="A44" zoomScale="85" zoomScaleNormal="85" workbookViewId="0">
      <selection activeCell="W37" sqref="W37:AH40"/>
    </sheetView>
  </sheetViews>
  <sheetFormatPr defaultRowHeight="13.2" x14ac:dyDescent="0.25"/>
  <cols>
    <col min="1" max="1" width="22.33203125" customWidth="1"/>
    <col min="2" max="2" width="15.6640625" bestFit="1" customWidth="1"/>
    <col min="3" max="3" width="4" customWidth="1"/>
    <col min="4" max="4" width="10.5546875" customWidth="1"/>
    <col min="5" max="6" width="11.6640625" customWidth="1"/>
    <col min="7" max="7" width="9.33203125" bestFit="1" customWidth="1"/>
    <col min="8" max="8" width="13.109375" customWidth="1"/>
    <col min="9" max="9" width="12.5546875" bestFit="1" customWidth="1"/>
    <col min="10" max="10" width="11.44140625" customWidth="1"/>
    <col min="11" max="11" width="12.5546875" customWidth="1"/>
    <col min="12" max="12" width="15" customWidth="1"/>
    <col min="13" max="13" width="16.33203125" customWidth="1"/>
    <col min="14" max="14" width="14.5546875" customWidth="1"/>
    <col min="15" max="16" width="14.109375" customWidth="1"/>
    <col min="17" max="17" width="15.33203125" customWidth="1"/>
    <col min="18" max="18" width="21.44140625" bestFit="1" customWidth="1"/>
    <col min="19" max="19" width="23" bestFit="1" customWidth="1"/>
    <col min="20" max="21" width="26.33203125" bestFit="1" customWidth="1"/>
    <col min="22" max="22" width="22.33203125" customWidth="1"/>
    <col min="23" max="23" width="10.33203125" bestFit="1" customWidth="1"/>
    <col min="24" max="24" width="12" customWidth="1"/>
    <col min="25" max="25" width="18.44140625" customWidth="1"/>
    <col min="26" max="26" width="16.5546875" customWidth="1"/>
    <col min="27" max="27" width="16" customWidth="1"/>
    <col min="28" max="28" width="11.109375" customWidth="1"/>
    <col min="29" max="29" width="12.44140625" customWidth="1"/>
    <col min="30" max="30" width="13.5546875" customWidth="1"/>
    <col min="32" max="32" width="10.6640625" bestFit="1" customWidth="1"/>
  </cols>
  <sheetData>
    <row r="1" spans="1:27" ht="22.8" x14ac:dyDescent="0.4">
      <c r="A1" s="277" t="s">
        <v>73</v>
      </c>
      <c r="B1" s="277"/>
      <c r="C1" s="277"/>
      <c r="D1" s="277"/>
      <c r="E1" s="277"/>
      <c r="F1" s="277"/>
      <c r="G1" s="277"/>
      <c r="H1" s="277"/>
      <c r="I1" s="277"/>
      <c r="J1" s="277"/>
      <c r="K1" s="277"/>
      <c r="L1" s="277"/>
      <c r="M1" s="277"/>
      <c r="N1" s="277"/>
      <c r="O1" s="277"/>
      <c r="P1" s="277"/>
      <c r="Q1" s="277"/>
      <c r="R1" s="277"/>
      <c r="S1" s="277"/>
      <c r="T1" s="277"/>
    </row>
    <row r="2" spans="1:27" ht="22.8" x14ac:dyDescent="0.4">
      <c r="A2" s="277" t="s">
        <v>74</v>
      </c>
      <c r="B2" s="277"/>
      <c r="C2" s="277"/>
      <c r="D2" s="277"/>
      <c r="E2" s="277"/>
      <c r="F2" s="277"/>
      <c r="G2" s="277"/>
      <c r="H2" s="277"/>
      <c r="I2" s="277"/>
      <c r="J2" s="277"/>
      <c r="K2" s="277"/>
      <c r="L2" s="277"/>
      <c r="M2" s="277"/>
      <c r="N2" s="277"/>
      <c r="O2" s="277"/>
      <c r="P2" s="277"/>
      <c r="Q2" s="277"/>
      <c r="R2" s="277"/>
      <c r="S2" s="277"/>
      <c r="T2" s="277"/>
    </row>
    <row r="3" spans="1:27" ht="22.8" x14ac:dyDescent="0.4">
      <c r="A3" s="277" t="s">
        <v>75</v>
      </c>
      <c r="B3" s="277"/>
      <c r="C3" s="277"/>
      <c r="D3" s="277"/>
      <c r="E3" s="277"/>
      <c r="F3" s="277"/>
      <c r="G3" s="277"/>
      <c r="H3" s="277"/>
      <c r="I3" s="277"/>
      <c r="J3" s="277"/>
      <c r="K3" s="277"/>
      <c r="L3" s="277"/>
      <c r="M3" s="277"/>
      <c r="N3" s="277"/>
      <c r="O3" s="277"/>
      <c r="P3" s="277"/>
      <c r="Q3" s="277"/>
      <c r="R3" s="277"/>
      <c r="S3" s="277"/>
      <c r="T3" s="277"/>
    </row>
    <row r="4" spans="1:27" ht="22.8" x14ac:dyDescent="0.4">
      <c r="A4" s="277" t="s">
        <v>76</v>
      </c>
      <c r="B4" s="277"/>
      <c r="C4" s="277"/>
      <c r="D4" s="277"/>
      <c r="E4" s="277"/>
      <c r="F4" s="277"/>
      <c r="G4" s="277"/>
      <c r="H4" s="277"/>
      <c r="I4" s="277"/>
      <c r="J4" s="277"/>
      <c r="K4" s="277"/>
      <c r="L4" s="277"/>
      <c r="M4" s="277"/>
      <c r="N4" s="277"/>
      <c r="O4" s="277"/>
      <c r="P4" s="277"/>
      <c r="Q4" s="277"/>
      <c r="R4" s="277"/>
      <c r="S4" s="277"/>
      <c r="T4" s="277"/>
    </row>
    <row r="5" spans="1:27" x14ac:dyDescent="0.25">
      <c r="A5" s="7"/>
      <c r="B5" s="7"/>
      <c r="C5" s="7"/>
      <c r="D5" s="7"/>
      <c r="E5" s="7"/>
      <c r="F5" s="7"/>
      <c r="G5" s="7"/>
      <c r="H5" s="7"/>
      <c r="I5" s="7"/>
      <c r="J5" s="7"/>
      <c r="K5" s="7"/>
      <c r="L5" s="7"/>
      <c r="M5" s="7"/>
      <c r="N5" s="7"/>
      <c r="O5" s="7"/>
      <c r="P5" s="7"/>
      <c r="Q5" s="7"/>
      <c r="R5" s="7"/>
      <c r="S5" s="7"/>
      <c r="T5" s="7"/>
    </row>
    <row r="6" spans="1:27" ht="17.399999999999999" x14ac:dyDescent="0.3">
      <c r="A6" s="7"/>
      <c r="B6" s="7"/>
      <c r="C6" s="7"/>
      <c r="D6" s="7"/>
      <c r="E6" s="7"/>
      <c r="F6" s="7"/>
      <c r="G6" s="7"/>
      <c r="H6" s="7"/>
      <c r="I6" s="7"/>
      <c r="J6" s="7"/>
      <c r="K6" s="7"/>
      <c r="L6" s="7"/>
      <c r="M6" s="7"/>
      <c r="N6" s="7"/>
      <c r="O6" s="137" t="s">
        <v>77</v>
      </c>
      <c r="P6" s="42"/>
      <c r="Q6" s="36"/>
      <c r="R6" s="36"/>
      <c r="S6" s="7"/>
      <c r="T6" s="7"/>
    </row>
    <row r="7" spans="1:27" ht="17.399999999999999" x14ac:dyDescent="0.3">
      <c r="A7" s="3" t="s">
        <v>78</v>
      </c>
      <c r="B7" s="3"/>
      <c r="C7" s="3"/>
      <c r="D7" s="3"/>
      <c r="E7" s="3"/>
      <c r="F7" s="3"/>
      <c r="G7" s="3"/>
      <c r="H7" s="5"/>
      <c r="I7" s="3"/>
      <c r="O7" s="137" t="s">
        <v>79</v>
      </c>
      <c r="P7" s="43"/>
      <c r="Q7" s="37"/>
      <c r="R7" s="37"/>
    </row>
    <row r="8" spans="1:27" ht="18" thickBot="1" x14ac:dyDescent="0.35">
      <c r="A8" s="278" t="s">
        <v>80</v>
      </c>
      <c r="B8" s="278"/>
      <c r="C8" s="278"/>
      <c r="D8" s="278"/>
      <c r="E8" s="278"/>
      <c r="F8" s="278"/>
      <c r="G8" s="3"/>
      <c r="H8" s="3"/>
      <c r="I8" s="3"/>
      <c r="J8" s="3"/>
      <c r="O8" s="137" t="s">
        <v>81</v>
      </c>
      <c r="P8" s="38"/>
      <c r="Q8" s="37"/>
      <c r="R8" s="38"/>
    </row>
    <row r="9" spans="1:27" ht="23.4" thickBot="1" x14ac:dyDescent="0.45">
      <c r="A9" s="3"/>
      <c r="B9" s="3"/>
      <c r="C9" s="3"/>
      <c r="D9" s="3"/>
      <c r="E9" s="3"/>
      <c r="F9" s="3"/>
      <c r="G9" s="3"/>
      <c r="H9" s="3"/>
      <c r="I9" s="3"/>
      <c r="J9" s="3"/>
      <c r="N9" s="164"/>
      <c r="O9" s="165" t="s">
        <v>82</v>
      </c>
      <c r="P9" s="168">
        <v>0</v>
      </c>
      <c r="Q9" s="167" t="s">
        <v>83</v>
      </c>
      <c r="R9" s="38"/>
    </row>
    <row r="10" spans="1:27" x14ac:dyDescent="0.25">
      <c r="A10" s="3"/>
      <c r="B10" s="3"/>
      <c r="C10" s="3"/>
      <c r="D10" s="3"/>
      <c r="E10" s="3"/>
      <c r="F10" s="3"/>
      <c r="G10" s="3"/>
      <c r="H10" s="3"/>
      <c r="I10" s="3"/>
      <c r="J10" s="3"/>
      <c r="O10" s="6"/>
      <c r="P10" s="136"/>
      <c r="Q10" s="39"/>
      <c r="R10" s="135"/>
    </row>
    <row r="11" spans="1:27" ht="12.75" customHeight="1" x14ac:dyDescent="0.25">
      <c r="A11" s="280" t="s">
        <v>84</v>
      </c>
      <c r="B11" s="281"/>
      <c r="C11" s="281"/>
      <c r="D11" s="281"/>
      <c r="E11" s="281"/>
      <c r="F11" s="281"/>
      <c r="G11" s="281"/>
      <c r="H11" s="281"/>
      <c r="I11" s="281"/>
      <c r="J11" s="281"/>
      <c r="K11" s="281"/>
      <c r="L11" s="281"/>
      <c r="M11" s="281"/>
      <c r="N11" s="281"/>
      <c r="O11" s="281"/>
      <c r="P11" s="281"/>
      <c r="Q11" s="281"/>
      <c r="R11" s="281"/>
      <c r="S11" s="281"/>
      <c r="T11" s="281"/>
      <c r="U11" s="281"/>
    </row>
    <row r="12" spans="1:27" ht="13.2" customHeight="1" thickBot="1" x14ac:dyDescent="0.3">
      <c r="A12" s="282"/>
      <c r="B12" s="283"/>
      <c r="C12" s="283"/>
      <c r="D12" s="283"/>
      <c r="E12" s="283"/>
      <c r="F12" s="283"/>
      <c r="G12" s="283"/>
      <c r="H12" s="283"/>
      <c r="I12" s="283"/>
      <c r="J12" s="283"/>
      <c r="K12" s="283"/>
      <c r="L12" s="283"/>
      <c r="M12" s="283"/>
      <c r="N12" s="283"/>
      <c r="O12" s="283"/>
      <c r="P12" s="283"/>
      <c r="Q12" s="283"/>
      <c r="R12" s="283"/>
      <c r="S12" s="283"/>
      <c r="T12" s="283"/>
      <c r="U12" s="283"/>
    </row>
    <row r="13" spans="1:27" ht="15.6" x14ac:dyDescent="0.3">
      <c r="A13" s="295" t="s">
        <v>85</v>
      </c>
      <c r="B13" s="296"/>
      <c r="C13" s="296"/>
      <c r="D13" s="296"/>
      <c r="E13" s="296"/>
      <c r="F13" s="297"/>
      <c r="G13" s="298" t="s">
        <v>86</v>
      </c>
      <c r="H13" s="299"/>
      <c r="I13" s="300"/>
      <c r="J13" s="295" t="s">
        <v>87</v>
      </c>
      <c r="K13" s="296"/>
      <c r="L13" s="296"/>
      <c r="M13" s="296"/>
      <c r="N13" s="296"/>
      <c r="O13" s="296"/>
      <c r="P13" s="297"/>
      <c r="Q13" s="301" t="s">
        <v>88</v>
      </c>
      <c r="R13" s="302"/>
      <c r="S13" s="302"/>
      <c r="T13" s="302"/>
      <c r="U13" s="303"/>
      <c r="AA13" s="28"/>
    </row>
    <row r="14" spans="1:27" ht="70.5" customHeight="1" x14ac:dyDescent="0.25">
      <c r="A14" s="197" t="s">
        <v>89</v>
      </c>
      <c r="B14" s="202" t="s">
        <v>90</v>
      </c>
      <c r="C14" s="198"/>
      <c r="D14" s="202" t="s">
        <v>91</v>
      </c>
      <c r="E14" s="202" t="s">
        <v>92</v>
      </c>
      <c r="F14" s="203" t="s">
        <v>93</v>
      </c>
      <c r="G14" s="199" t="s">
        <v>94</v>
      </c>
      <c r="H14" s="200" t="s">
        <v>95</v>
      </c>
      <c r="I14" s="201" t="s">
        <v>96</v>
      </c>
      <c r="J14" s="197" t="s">
        <v>97</v>
      </c>
      <c r="K14" s="202" t="s">
        <v>98</v>
      </c>
      <c r="L14" s="290" t="s">
        <v>99</v>
      </c>
      <c r="M14" s="290"/>
      <c r="N14" s="290"/>
      <c r="O14" s="290" t="s">
        <v>100</v>
      </c>
      <c r="P14" s="304"/>
      <c r="Q14" s="199" t="s">
        <v>101</v>
      </c>
      <c r="R14" s="200" t="s">
        <v>102</v>
      </c>
      <c r="S14" s="200" t="s">
        <v>103</v>
      </c>
      <c r="T14" s="200" t="s">
        <v>104</v>
      </c>
      <c r="U14" s="201" t="s">
        <v>105</v>
      </c>
      <c r="Z14" s="26"/>
    </row>
    <row r="15" spans="1:27" ht="21.75" customHeight="1" x14ac:dyDescent="0.25">
      <c r="A15" s="145"/>
      <c r="B15" s="133" t="e">
        <f>VLOOKUP(A15,'Water Project Data'!$A$3:$G$23,2,FALSE)</f>
        <v>#N/A</v>
      </c>
      <c r="C15" s="139" t="s">
        <v>106</v>
      </c>
      <c r="D15" s="186" t="s">
        <v>107</v>
      </c>
      <c r="E15" s="133" t="e">
        <f>VLOOKUP(A15,'Water Project Data'!$A$3:$G$23,3,FALSE)</f>
        <v>#N/A</v>
      </c>
      <c r="F15" s="155" t="e">
        <f>VLOOKUP(A15,'Water Project Data'!$A$3:$G$23,7,FALSE)</f>
        <v>#N/A</v>
      </c>
      <c r="G15" s="109">
        <v>1950</v>
      </c>
      <c r="H15" s="31">
        <f>1-((2014-G15)/VLOOKUP(D15,Data!$B$4:$C$10,2,FALSE))</f>
        <v>0.36</v>
      </c>
      <c r="I15" s="185">
        <f>IF(H15&lt;0,1,IF(1-H15&lt;0.1,0,((1-H15))))</f>
        <v>0.64</v>
      </c>
      <c r="J15" s="154" t="e">
        <f>((3.1415*((VLOOKUP(E15,Data!$A$27:$B$35,2,FALSE)/12)^2))/4)*7.48*60*5</f>
        <v>#N/A</v>
      </c>
      <c r="K15" s="151" t="e">
        <f>((3.1415*((VLOOKUP(F15,Data!$A$28:$B$35,2,FALSE)/12)^2))/4)*7.48*60*5</f>
        <v>#N/A</v>
      </c>
      <c r="L15" s="276" t="s">
        <v>108</v>
      </c>
      <c r="M15" s="276"/>
      <c r="N15" s="276"/>
      <c r="O15" s="305" t="e">
        <f>IF(J15&lt;=K15,IF(L15="CORPUD",((K15-J15)/K15),0),0)</f>
        <v>#N/A</v>
      </c>
      <c r="P15" s="306"/>
      <c r="Q15" s="149" t="e">
        <f>MAX(O15,I15)</f>
        <v>#N/A</v>
      </c>
      <c r="R15" s="143">
        <f>IFERROR(IF(O15&gt;0,(Q15*VLOOKUP(A15,'Water Project Data'!$A$3:$Y$23,25,FALSE)),Q15*VLOOKUP(A15,'Water Project Data'!$A$3:$Y$23,23,FALSE)),0)</f>
        <v>0</v>
      </c>
      <c r="S15" s="152" t="e">
        <f>IF(Q15&gt;0,(I15/(I15+O15))*U15,0)</f>
        <v>#N/A</v>
      </c>
      <c r="T15" s="152" t="e">
        <f>IF(Q15&gt;0,(O15/(O15+I15))*U15,0)</f>
        <v>#N/A</v>
      </c>
      <c r="U15" s="153">
        <f>IFERROR(R15*B15,0)</f>
        <v>0</v>
      </c>
    </row>
    <row r="16" spans="1:27" ht="21.75" customHeight="1" x14ac:dyDescent="0.25">
      <c r="A16" s="145"/>
      <c r="B16" s="133" t="e">
        <f>VLOOKUP(A16,'Water Project Data'!$A$3:$G$23,2,FALSE)</f>
        <v>#N/A</v>
      </c>
      <c r="C16" s="139" t="s">
        <v>106</v>
      </c>
      <c r="D16" s="186" t="s">
        <v>107</v>
      </c>
      <c r="E16" s="133" t="e">
        <f>VLOOKUP(A16,'Water Project Data'!$A$3:$G$23,3,FALSE)</f>
        <v>#N/A</v>
      </c>
      <c r="F16" s="155" t="e">
        <f>VLOOKUP(A16,'Water Project Data'!$A$3:$G$23,7,FALSE)</f>
        <v>#N/A</v>
      </c>
      <c r="G16" s="109">
        <v>1950</v>
      </c>
      <c r="H16" s="31">
        <f>1-((2014-G16)/VLOOKUP(D16,Data!$B$4:$C$10,2,FALSE))</f>
        <v>0.36</v>
      </c>
      <c r="I16" s="185">
        <f t="shared" ref="I16:I34" si="0">IF(H16&lt;0,1,IF(1-H16&lt;0.1,0,((1-H16))))</f>
        <v>0.64</v>
      </c>
      <c r="J16" s="154" t="e">
        <f>((3.1415*((VLOOKUP(E16,Data!$A$27:$B$35,2,FALSE)/12)^2))/4)*7.48*60*5</f>
        <v>#N/A</v>
      </c>
      <c r="K16" s="151" t="e">
        <f>((3.1415*((VLOOKUP(F16,Data!$A$28:$B$35,2,FALSE)/12)^2))/4)*7.48*60*5</f>
        <v>#N/A</v>
      </c>
      <c r="L16" s="276" t="s">
        <v>108</v>
      </c>
      <c r="M16" s="276"/>
      <c r="N16" s="276"/>
      <c r="O16" s="305" t="e">
        <f t="shared" ref="O16:O34" si="1">IF(J16&lt;=K16,IF(L16="CORPUD",((K16-J16)/K16),0),0)</f>
        <v>#N/A</v>
      </c>
      <c r="P16" s="306"/>
      <c r="Q16" s="149" t="e">
        <f t="shared" ref="Q16:Q34" si="2">MAX(O16,I16)</f>
        <v>#N/A</v>
      </c>
      <c r="R16" s="143">
        <f>IFERROR(IF(O16&gt;0,(Q16*VLOOKUP(A16,'Water Project Data'!$A$3:$Y$23,25,FALSE)),Q16*VLOOKUP(A16,'Water Project Data'!$A$3:$Y$23,23,FALSE)),0)</f>
        <v>0</v>
      </c>
      <c r="S16" s="152" t="e">
        <f t="shared" ref="S16:S34" si="3">IF(Q16&gt;0,(I16/(I16+O16))*U16,0)</f>
        <v>#N/A</v>
      </c>
      <c r="T16" s="152" t="e">
        <f t="shared" ref="T16:T34" si="4">IF(Q16&gt;0,(O16/(O16+I16))*U16,0)</f>
        <v>#N/A</v>
      </c>
      <c r="U16" s="153">
        <f t="shared" ref="U16:U34" si="5">IFERROR(R16*B16,0)</f>
        <v>0</v>
      </c>
    </row>
    <row r="17" spans="1:21" ht="21.75" customHeight="1" x14ac:dyDescent="0.25">
      <c r="A17" s="145"/>
      <c r="B17" s="133" t="e">
        <f>VLOOKUP(A17,'Water Project Data'!$A$3:$G$23,2,FALSE)</f>
        <v>#N/A</v>
      </c>
      <c r="C17" s="139" t="s">
        <v>106</v>
      </c>
      <c r="D17" s="186" t="s">
        <v>107</v>
      </c>
      <c r="E17" s="133" t="e">
        <f>VLOOKUP(A17,'Water Project Data'!$A$3:$G$23,3,FALSE)</f>
        <v>#N/A</v>
      </c>
      <c r="F17" s="155" t="e">
        <f>VLOOKUP(A17,'Water Project Data'!$A$3:$G$23,7,FALSE)</f>
        <v>#N/A</v>
      </c>
      <c r="G17" s="109">
        <v>1950</v>
      </c>
      <c r="H17" s="31">
        <f>1-((2014-G17)/VLOOKUP(D17,Data!$B$4:$C$10,2,FALSE))</f>
        <v>0.36</v>
      </c>
      <c r="I17" s="185">
        <f t="shared" si="0"/>
        <v>0.64</v>
      </c>
      <c r="J17" s="154" t="e">
        <f>((3.1415*((VLOOKUP(E17,Data!$A$27:$B$35,2,FALSE)/12)^2))/4)*7.48*60*5</f>
        <v>#N/A</v>
      </c>
      <c r="K17" s="151" t="e">
        <f>((3.1415*((VLOOKUP(F17,Data!$A$28:$B$35,2,FALSE)/12)^2))/4)*7.48*60*5</f>
        <v>#N/A</v>
      </c>
      <c r="L17" s="276" t="s">
        <v>108</v>
      </c>
      <c r="M17" s="276"/>
      <c r="N17" s="276"/>
      <c r="O17" s="305" t="e">
        <f t="shared" si="1"/>
        <v>#N/A</v>
      </c>
      <c r="P17" s="306"/>
      <c r="Q17" s="149" t="e">
        <f t="shared" si="2"/>
        <v>#N/A</v>
      </c>
      <c r="R17" s="143">
        <f>IFERROR(IF(O17&gt;0,(Q17*VLOOKUP(A17,'Water Project Data'!$A$3:$Y$23,25,FALSE)),Q17*VLOOKUP(A17,'Water Project Data'!$A$3:$Y$23,23,FALSE)),0)</f>
        <v>0</v>
      </c>
      <c r="S17" s="152" t="e">
        <f t="shared" si="3"/>
        <v>#N/A</v>
      </c>
      <c r="T17" s="152" t="e">
        <f t="shared" si="4"/>
        <v>#N/A</v>
      </c>
      <c r="U17" s="153">
        <f t="shared" si="5"/>
        <v>0</v>
      </c>
    </row>
    <row r="18" spans="1:21" ht="21.75" customHeight="1" x14ac:dyDescent="0.25">
      <c r="A18" s="145"/>
      <c r="B18" s="133" t="e">
        <f>VLOOKUP(A18,'Water Project Data'!$A$3:$G$23,2,FALSE)</f>
        <v>#N/A</v>
      </c>
      <c r="C18" s="139" t="s">
        <v>106</v>
      </c>
      <c r="D18" s="186" t="s">
        <v>107</v>
      </c>
      <c r="E18" s="133" t="e">
        <f>VLOOKUP(A18,'Water Project Data'!$A$3:$G$23,3,FALSE)</f>
        <v>#N/A</v>
      </c>
      <c r="F18" s="155" t="e">
        <f>VLOOKUP(A18,'Water Project Data'!$A$3:$G$23,7,FALSE)</f>
        <v>#N/A</v>
      </c>
      <c r="G18" s="109">
        <v>1950</v>
      </c>
      <c r="H18" s="31">
        <f>1-((2014-G18)/VLOOKUP(D18,Data!$B$4:$C$10,2,FALSE))</f>
        <v>0.36</v>
      </c>
      <c r="I18" s="185">
        <f t="shared" si="0"/>
        <v>0.64</v>
      </c>
      <c r="J18" s="154" t="e">
        <f>((3.1415*((VLOOKUP(E18,Data!$A$27:$B$35,2,FALSE)/12)^2))/4)*7.48*60*5</f>
        <v>#N/A</v>
      </c>
      <c r="K18" s="151" t="e">
        <f>((3.1415*((VLOOKUP(F18,Data!$A$28:$B$35,2,FALSE)/12)^2))/4)*7.48*60*5</f>
        <v>#N/A</v>
      </c>
      <c r="L18" s="276" t="s">
        <v>108</v>
      </c>
      <c r="M18" s="276"/>
      <c r="N18" s="276"/>
      <c r="O18" s="305" t="e">
        <f t="shared" si="1"/>
        <v>#N/A</v>
      </c>
      <c r="P18" s="306"/>
      <c r="Q18" s="149" t="e">
        <f t="shared" si="2"/>
        <v>#N/A</v>
      </c>
      <c r="R18" s="143">
        <f>IFERROR(IF(O18&gt;0,(Q18*VLOOKUP(A18,'Water Project Data'!$A$3:$Y$23,25,FALSE)),Q18*VLOOKUP(A18,'Water Project Data'!$A$3:$Y$23,23,FALSE)),0)</f>
        <v>0</v>
      </c>
      <c r="S18" s="152" t="e">
        <f t="shared" si="3"/>
        <v>#N/A</v>
      </c>
      <c r="T18" s="152" t="e">
        <f t="shared" si="4"/>
        <v>#N/A</v>
      </c>
      <c r="U18" s="153">
        <f t="shared" si="5"/>
        <v>0</v>
      </c>
    </row>
    <row r="19" spans="1:21" ht="21.75" customHeight="1" x14ac:dyDescent="0.25">
      <c r="A19" s="145"/>
      <c r="B19" s="133" t="e">
        <f>VLOOKUP(A19,'Water Project Data'!$A$3:$G$23,2,FALSE)</f>
        <v>#N/A</v>
      </c>
      <c r="C19" s="139" t="s">
        <v>106</v>
      </c>
      <c r="D19" s="186" t="s">
        <v>107</v>
      </c>
      <c r="E19" s="133" t="e">
        <f>VLOOKUP(A19,'Water Project Data'!$A$3:$G$23,3,FALSE)</f>
        <v>#N/A</v>
      </c>
      <c r="F19" s="155" t="e">
        <f>VLOOKUP(A19,'Water Project Data'!$A$3:$G$23,7,FALSE)</f>
        <v>#N/A</v>
      </c>
      <c r="G19" s="109">
        <v>1950</v>
      </c>
      <c r="H19" s="31">
        <f>1-((2014-G19)/VLOOKUP(D19,Data!$B$4:$C$10,2,FALSE))</f>
        <v>0.36</v>
      </c>
      <c r="I19" s="185">
        <f t="shared" si="0"/>
        <v>0.64</v>
      </c>
      <c r="J19" s="154" t="e">
        <f>((3.1415*((VLOOKUP(E19,Data!$A$27:$B$35,2,FALSE)/12)^2))/4)*7.48*60*5</f>
        <v>#N/A</v>
      </c>
      <c r="K19" s="151" t="e">
        <f>((3.1415*((VLOOKUP(F19,Data!$A$28:$B$35,2,FALSE)/12)^2))/4)*7.48*60*5</f>
        <v>#N/A</v>
      </c>
      <c r="L19" s="276" t="s">
        <v>108</v>
      </c>
      <c r="M19" s="276"/>
      <c r="N19" s="276"/>
      <c r="O19" s="305" t="e">
        <f t="shared" si="1"/>
        <v>#N/A</v>
      </c>
      <c r="P19" s="306"/>
      <c r="Q19" s="149" t="e">
        <f t="shared" si="2"/>
        <v>#N/A</v>
      </c>
      <c r="R19" s="143">
        <f>IFERROR(IF(O19&gt;0,(Q19*VLOOKUP(A19,'Water Project Data'!$A$3:$Y$23,25,FALSE)),Q19*VLOOKUP(A19,'Water Project Data'!$A$3:$Y$23,23,FALSE)),0)</f>
        <v>0</v>
      </c>
      <c r="S19" s="152" t="e">
        <f t="shared" si="3"/>
        <v>#N/A</v>
      </c>
      <c r="T19" s="152" t="e">
        <f t="shared" si="4"/>
        <v>#N/A</v>
      </c>
      <c r="U19" s="153">
        <f t="shared" si="5"/>
        <v>0</v>
      </c>
    </row>
    <row r="20" spans="1:21" ht="21.75" customHeight="1" x14ac:dyDescent="0.25">
      <c r="A20" s="145"/>
      <c r="B20" s="133" t="e">
        <f>VLOOKUP(A20,'Water Project Data'!$A$3:$G$23,2,FALSE)</f>
        <v>#N/A</v>
      </c>
      <c r="C20" s="139" t="s">
        <v>106</v>
      </c>
      <c r="D20" s="186" t="s">
        <v>107</v>
      </c>
      <c r="E20" s="133" t="e">
        <f>VLOOKUP(A20,'Water Project Data'!$A$3:$G$23,3,FALSE)</f>
        <v>#N/A</v>
      </c>
      <c r="F20" s="155" t="e">
        <f>VLOOKUP(A20,'Water Project Data'!$A$3:$G$23,7,FALSE)</f>
        <v>#N/A</v>
      </c>
      <c r="G20" s="109">
        <v>1950</v>
      </c>
      <c r="H20" s="31">
        <f>1-((2014-G20)/VLOOKUP(D20,Data!$B$4:$C$10,2,FALSE))</f>
        <v>0.36</v>
      </c>
      <c r="I20" s="185">
        <f t="shared" si="0"/>
        <v>0.64</v>
      </c>
      <c r="J20" s="154" t="e">
        <f>((3.1415*((VLOOKUP(E20,Data!$A$27:$B$35,2,FALSE)/12)^2))/4)*7.48*60*5</f>
        <v>#N/A</v>
      </c>
      <c r="K20" s="151" t="e">
        <f>((3.1415*((VLOOKUP(F20,Data!$A$28:$B$35,2,FALSE)/12)^2))/4)*7.48*60*5</f>
        <v>#N/A</v>
      </c>
      <c r="L20" s="276" t="s">
        <v>108</v>
      </c>
      <c r="M20" s="276"/>
      <c r="N20" s="276"/>
      <c r="O20" s="305" t="e">
        <f t="shared" si="1"/>
        <v>#N/A</v>
      </c>
      <c r="P20" s="306"/>
      <c r="Q20" s="149" t="e">
        <f t="shared" si="2"/>
        <v>#N/A</v>
      </c>
      <c r="R20" s="143">
        <f>IFERROR(IF(O20&gt;0,(Q20*VLOOKUP(A20,'Water Project Data'!$A$3:$Y$23,25,FALSE)),Q20*VLOOKUP(A20,'Water Project Data'!$A$3:$Y$23,23,FALSE)),0)</f>
        <v>0</v>
      </c>
      <c r="S20" s="152" t="e">
        <f t="shared" si="3"/>
        <v>#N/A</v>
      </c>
      <c r="T20" s="152" t="e">
        <f t="shared" si="4"/>
        <v>#N/A</v>
      </c>
      <c r="U20" s="153">
        <f t="shared" si="5"/>
        <v>0</v>
      </c>
    </row>
    <row r="21" spans="1:21" ht="21.75" customHeight="1" x14ac:dyDescent="0.25">
      <c r="A21" s="145"/>
      <c r="B21" s="133" t="e">
        <f>VLOOKUP(A21,'Water Project Data'!$A$3:$G$23,2,FALSE)</f>
        <v>#N/A</v>
      </c>
      <c r="C21" s="139" t="s">
        <v>106</v>
      </c>
      <c r="D21" s="186" t="s">
        <v>107</v>
      </c>
      <c r="E21" s="133" t="e">
        <f>VLOOKUP(A21,'Water Project Data'!$A$3:$G$23,3,FALSE)</f>
        <v>#N/A</v>
      </c>
      <c r="F21" s="155" t="e">
        <f>VLOOKUP(A21,'Water Project Data'!$A$3:$G$23,7,FALSE)</f>
        <v>#N/A</v>
      </c>
      <c r="G21" s="109">
        <v>1950</v>
      </c>
      <c r="H21" s="31">
        <f>1-((2014-G21)/VLOOKUP(D21,Data!$B$4:$C$10,2,FALSE))</f>
        <v>0.36</v>
      </c>
      <c r="I21" s="185">
        <f t="shared" si="0"/>
        <v>0.64</v>
      </c>
      <c r="J21" s="154" t="e">
        <f>((3.1415*((VLOOKUP(E21,Data!$A$27:$B$35,2,FALSE)/12)^2))/4)*7.48*60*5</f>
        <v>#N/A</v>
      </c>
      <c r="K21" s="151" t="e">
        <f>((3.1415*((VLOOKUP(F21,Data!$A$28:$B$35,2,FALSE)/12)^2))/4)*7.48*60*5</f>
        <v>#N/A</v>
      </c>
      <c r="L21" s="276" t="s">
        <v>108</v>
      </c>
      <c r="M21" s="276"/>
      <c r="N21" s="276"/>
      <c r="O21" s="305" t="e">
        <f t="shared" si="1"/>
        <v>#N/A</v>
      </c>
      <c r="P21" s="306"/>
      <c r="Q21" s="149" t="e">
        <f t="shared" si="2"/>
        <v>#N/A</v>
      </c>
      <c r="R21" s="143">
        <f>IFERROR(IF(O21&gt;0,(Q21*VLOOKUP(A21,'Water Project Data'!$A$3:$Y$23,25,FALSE)),Q21*VLOOKUP(A21,'Water Project Data'!$A$3:$Y$23,23,FALSE)),0)</f>
        <v>0</v>
      </c>
      <c r="S21" s="152" t="e">
        <f t="shared" si="3"/>
        <v>#N/A</v>
      </c>
      <c r="T21" s="152" t="e">
        <f t="shared" si="4"/>
        <v>#N/A</v>
      </c>
      <c r="U21" s="153">
        <f t="shared" si="5"/>
        <v>0</v>
      </c>
    </row>
    <row r="22" spans="1:21" ht="21.75" customHeight="1" x14ac:dyDescent="0.25">
      <c r="A22" s="145"/>
      <c r="B22" s="133" t="e">
        <f>VLOOKUP(A22,'Water Project Data'!$A$3:$G$23,2,FALSE)</f>
        <v>#N/A</v>
      </c>
      <c r="C22" s="139" t="s">
        <v>106</v>
      </c>
      <c r="D22" s="186" t="s">
        <v>107</v>
      </c>
      <c r="E22" s="133" t="e">
        <f>VLOOKUP(A22,'Water Project Data'!$A$3:$G$23,3,FALSE)</f>
        <v>#N/A</v>
      </c>
      <c r="F22" s="155" t="e">
        <f>VLOOKUP(A22,'Water Project Data'!$A$3:$G$23,7,FALSE)</f>
        <v>#N/A</v>
      </c>
      <c r="G22" s="109">
        <v>1950</v>
      </c>
      <c r="H22" s="31">
        <f>1-((2014-G22)/VLOOKUP(D22,Data!$B$4:$C$10,2,FALSE))</f>
        <v>0.36</v>
      </c>
      <c r="I22" s="185">
        <f t="shared" si="0"/>
        <v>0.64</v>
      </c>
      <c r="J22" s="154" t="e">
        <f>((3.1415*((VLOOKUP(E22,Data!$A$27:$B$35,2,FALSE)/12)^2))/4)*7.48*60*5</f>
        <v>#N/A</v>
      </c>
      <c r="K22" s="151" t="e">
        <f>((3.1415*((VLOOKUP(F22,Data!$A$28:$B$35,2,FALSE)/12)^2))/4)*7.48*60*5</f>
        <v>#N/A</v>
      </c>
      <c r="L22" s="276" t="s">
        <v>108</v>
      </c>
      <c r="M22" s="276"/>
      <c r="N22" s="276"/>
      <c r="O22" s="305" t="e">
        <f t="shared" si="1"/>
        <v>#N/A</v>
      </c>
      <c r="P22" s="306"/>
      <c r="Q22" s="149" t="e">
        <f t="shared" si="2"/>
        <v>#N/A</v>
      </c>
      <c r="R22" s="143">
        <f>IFERROR(IF(O22&gt;0,(Q22*VLOOKUP(A22,'Water Project Data'!$A$3:$Y$23,25,FALSE)),Q22*VLOOKUP(A22,'Water Project Data'!$A$3:$Y$23,23,FALSE)),0)</f>
        <v>0</v>
      </c>
      <c r="S22" s="152" t="e">
        <f t="shared" si="3"/>
        <v>#N/A</v>
      </c>
      <c r="T22" s="152" t="e">
        <f t="shared" si="4"/>
        <v>#N/A</v>
      </c>
      <c r="U22" s="153">
        <f t="shared" si="5"/>
        <v>0</v>
      </c>
    </row>
    <row r="23" spans="1:21" ht="21.75" customHeight="1" x14ac:dyDescent="0.25">
      <c r="A23" s="145"/>
      <c r="B23" s="133" t="e">
        <f>VLOOKUP(A23,'Water Project Data'!$A$3:$G$23,2,FALSE)</f>
        <v>#N/A</v>
      </c>
      <c r="C23" s="139" t="s">
        <v>106</v>
      </c>
      <c r="D23" s="186" t="s">
        <v>107</v>
      </c>
      <c r="E23" s="133" t="e">
        <f>VLOOKUP(A23,'Water Project Data'!$A$3:$G$23,3,FALSE)</f>
        <v>#N/A</v>
      </c>
      <c r="F23" s="155" t="e">
        <f>VLOOKUP(A23,'Water Project Data'!$A$3:$G$23,7,FALSE)</f>
        <v>#N/A</v>
      </c>
      <c r="G23" s="109">
        <v>1950</v>
      </c>
      <c r="H23" s="31">
        <f>1-((2014-G23)/VLOOKUP(D23,Data!$B$4:$C$10,2,FALSE))</f>
        <v>0.36</v>
      </c>
      <c r="I23" s="185">
        <f t="shared" si="0"/>
        <v>0.64</v>
      </c>
      <c r="J23" s="154" t="e">
        <f>((3.1415*((VLOOKUP(E23,Data!$A$27:$B$35,2,FALSE)/12)^2))/4)*7.48*60*5</f>
        <v>#N/A</v>
      </c>
      <c r="K23" s="151" t="e">
        <f>((3.1415*((VLOOKUP(F23,Data!$A$28:$B$35,2,FALSE)/12)^2))/4)*7.48*60*5</f>
        <v>#N/A</v>
      </c>
      <c r="L23" s="276" t="s">
        <v>108</v>
      </c>
      <c r="M23" s="276"/>
      <c r="N23" s="276"/>
      <c r="O23" s="305" t="e">
        <f t="shared" si="1"/>
        <v>#N/A</v>
      </c>
      <c r="P23" s="306"/>
      <c r="Q23" s="149" t="e">
        <f t="shared" si="2"/>
        <v>#N/A</v>
      </c>
      <c r="R23" s="143">
        <f>IFERROR(IF(O23&gt;0,(Q23*VLOOKUP(A23,'Water Project Data'!$A$3:$Y$23,25,FALSE)),Q23*VLOOKUP(A23,'Water Project Data'!$A$3:$Y$23,23,FALSE)),0)</f>
        <v>0</v>
      </c>
      <c r="S23" s="152" t="e">
        <f t="shared" si="3"/>
        <v>#N/A</v>
      </c>
      <c r="T23" s="152" t="e">
        <f t="shared" si="4"/>
        <v>#N/A</v>
      </c>
      <c r="U23" s="153">
        <f t="shared" si="5"/>
        <v>0</v>
      </c>
    </row>
    <row r="24" spans="1:21" ht="21.75" customHeight="1" x14ac:dyDescent="0.25">
      <c r="A24" s="145"/>
      <c r="B24" s="133" t="e">
        <f>VLOOKUP(A24,'Water Project Data'!$A$3:$G$23,2,FALSE)</f>
        <v>#N/A</v>
      </c>
      <c r="C24" s="139" t="s">
        <v>106</v>
      </c>
      <c r="D24" s="186" t="s">
        <v>107</v>
      </c>
      <c r="E24" s="133" t="e">
        <f>VLOOKUP(A24,'Water Project Data'!$A$3:$G$23,3,FALSE)</f>
        <v>#N/A</v>
      </c>
      <c r="F24" s="155" t="e">
        <f>VLOOKUP(A24,'Water Project Data'!$A$3:$G$23,7,FALSE)</f>
        <v>#N/A</v>
      </c>
      <c r="G24" s="109">
        <v>1950</v>
      </c>
      <c r="H24" s="31">
        <f>1-((2014-G24)/VLOOKUP(D24,Data!$B$4:$C$10,2,FALSE))</f>
        <v>0.36</v>
      </c>
      <c r="I24" s="185">
        <f t="shared" si="0"/>
        <v>0.64</v>
      </c>
      <c r="J24" s="154" t="e">
        <f>((3.1415*((VLOOKUP(E24,Data!$A$27:$B$35,2,FALSE)/12)^2))/4)*7.48*60*5</f>
        <v>#N/A</v>
      </c>
      <c r="K24" s="151" t="e">
        <f>((3.1415*((VLOOKUP(F24,Data!$A$28:$B$35,2,FALSE)/12)^2))/4)*7.48*60*5</f>
        <v>#N/A</v>
      </c>
      <c r="L24" s="276" t="s">
        <v>108</v>
      </c>
      <c r="M24" s="276"/>
      <c r="N24" s="276"/>
      <c r="O24" s="305" t="e">
        <f t="shared" si="1"/>
        <v>#N/A</v>
      </c>
      <c r="P24" s="306"/>
      <c r="Q24" s="149" t="e">
        <f t="shared" si="2"/>
        <v>#N/A</v>
      </c>
      <c r="R24" s="143">
        <f>IFERROR(IF(O24&gt;0,(Q24*VLOOKUP(A24,'Water Project Data'!$A$3:$Y$23,25,FALSE)),Q24*VLOOKUP(A24,'Water Project Data'!$A$3:$Y$23,23,FALSE)),0)</f>
        <v>0</v>
      </c>
      <c r="S24" s="152" t="e">
        <f t="shared" si="3"/>
        <v>#N/A</v>
      </c>
      <c r="T24" s="152" t="e">
        <f t="shared" si="4"/>
        <v>#N/A</v>
      </c>
      <c r="U24" s="153">
        <f t="shared" si="5"/>
        <v>0</v>
      </c>
    </row>
    <row r="25" spans="1:21" ht="21.75" customHeight="1" x14ac:dyDescent="0.25">
      <c r="A25" s="145"/>
      <c r="B25" s="133" t="e">
        <f>VLOOKUP(A25,'Water Project Data'!$A$3:$G$23,2,FALSE)</f>
        <v>#N/A</v>
      </c>
      <c r="C25" s="139" t="s">
        <v>106</v>
      </c>
      <c r="D25" s="186" t="s">
        <v>107</v>
      </c>
      <c r="E25" s="133" t="e">
        <f>VLOOKUP(A25,'Water Project Data'!$A$3:$G$23,3,FALSE)</f>
        <v>#N/A</v>
      </c>
      <c r="F25" s="155" t="e">
        <f>VLOOKUP(A25,'Water Project Data'!$A$3:$G$23,7,FALSE)</f>
        <v>#N/A</v>
      </c>
      <c r="G25" s="109">
        <v>1950</v>
      </c>
      <c r="H25" s="31">
        <f>1-((2014-G25)/VLOOKUP(D25,Data!$B$4:$C$10,2,FALSE))</f>
        <v>0.36</v>
      </c>
      <c r="I25" s="185">
        <f t="shared" si="0"/>
        <v>0.64</v>
      </c>
      <c r="J25" s="154" t="e">
        <f>((3.1415*((VLOOKUP(E25,Data!$A$27:$B$35,2,FALSE)/12)^2))/4)*7.48*60*5</f>
        <v>#N/A</v>
      </c>
      <c r="K25" s="151" t="e">
        <f>((3.1415*((VLOOKUP(F25,Data!$A$28:$B$35,2,FALSE)/12)^2))/4)*7.48*60*5</f>
        <v>#N/A</v>
      </c>
      <c r="L25" s="276" t="s">
        <v>108</v>
      </c>
      <c r="M25" s="276"/>
      <c r="N25" s="276"/>
      <c r="O25" s="305" t="e">
        <f t="shared" si="1"/>
        <v>#N/A</v>
      </c>
      <c r="P25" s="306"/>
      <c r="Q25" s="149" t="e">
        <f t="shared" si="2"/>
        <v>#N/A</v>
      </c>
      <c r="R25" s="143">
        <f>IFERROR(IF(O25&gt;0,(Q25*VLOOKUP(A25,'Water Project Data'!$A$3:$Y$23,25,FALSE)),Q25*VLOOKUP(A25,'Water Project Data'!$A$3:$Y$23,23,FALSE)),0)</f>
        <v>0</v>
      </c>
      <c r="S25" s="152" t="e">
        <f t="shared" si="3"/>
        <v>#N/A</v>
      </c>
      <c r="T25" s="152" t="e">
        <f t="shared" si="4"/>
        <v>#N/A</v>
      </c>
      <c r="U25" s="153">
        <f t="shared" si="5"/>
        <v>0</v>
      </c>
    </row>
    <row r="26" spans="1:21" ht="21.75" customHeight="1" x14ac:dyDescent="0.25">
      <c r="A26" s="145"/>
      <c r="B26" s="133" t="e">
        <f>VLOOKUP(A26,'Water Project Data'!$A$3:$G$23,2,FALSE)</f>
        <v>#N/A</v>
      </c>
      <c r="C26" s="139" t="s">
        <v>106</v>
      </c>
      <c r="D26" s="186" t="s">
        <v>107</v>
      </c>
      <c r="E26" s="133" t="e">
        <f>VLOOKUP(A26,'Water Project Data'!$A$3:$G$23,3,FALSE)</f>
        <v>#N/A</v>
      </c>
      <c r="F26" s="155" t="e">
        <f>VLOOKUP(A26,'Water Project Data'!$A$3:$G$23,7,FALSE)</f>
        <v>#N/A</v>
      </c>
      <c r="G26" s="109">
        <v>1950</v>
      </c>
      <c r="H26" s="31">
        <f>1-((2014-G26)/VLOOKUP(D26,Data!$B$4:$C$10,2,FALSE))</f>
        <v>0.36</v>
      </c>
      <c r="I26" s="185">
        <f t="shared" si="0"/>
        <v>0.64</v>
      </c>
      <c r="J26" s="154" t="e">
        <f>((3.1415*((VLOOKUP(E26,Data!$A$27:$B$35,2,FALSE)/12)^2))/4)*7.48*60*5</f>
        <v>#N/A</v>
      </c>
      <c r="K26" s="151" t="e">
        <f>((3.1415*((VLOOKUP(F26,Data!$A$28:$B$35,2,FALSE)/12)^2))/4)*7.48*60*5</f>
        <v>#N/A</v>
      </c>
      <c r="L26" s="276" t="s">
        <v>108</v>
      </c>
      <c r="M26" s="276"/>
      <c r="N26" s="276"/>
      <c r="O26" s="305" t="e">
        <f t="shared" si="1"/>
        <v>#N/A</v>
      </c>
      <c r="P26" s="306"/>
      <c r="Q26" s="149" t="e">
        <f t="shared" si="2"/>
        <v>#N/A</v>
      </c>
      <c r="R26" s="143">
        <f>IFERROR(IF(O26&gt;0,(Q26*VLOOKUP(A26,'Water Project Data'!$A$3:$Y$23,25,FALSE)),Q26*VLOOKUP(A26,'Water Project Data'!$A$3:$Y$23,23,FALSE)),0)</f>
        <v>0</v>
      </c>
      <c r="S26" s="152" t="e">
        <f t="shared" si="3"/>
        <v>#N/A</v>
      </c>
      <c r="T26" s="152" t="e">
        <f t="shared" si="4"/>
        <v>#N/A</v>
      </c>
      <c r="U26" s="153">
        <f t="shared" si="5"/>
        <v>0</v>
      </c>
    </row>
    <row r="27" spans="1:21" ht="21.75" customHeight="1" x14ac:dyDescent="0.25">
      <c r="A27" s="145"/>
      <c r="B27" s="133" t="e">
        <f>VLOOKUP(A27,'Water Project Data'!$A$3:$G$23,2,FALSE)</f>
        <v>#N/A</v>
      </c>
      <c r="C27" s="139" t="s">
        <v>106</v>
      </c>
      <c r="D27" s="186" t="s">
        <v>107</v>
      </c>
      <c r="E27" s="133" t="e">
        <f>VLOOKUP(A27,'Water Project Data'!$A$3:$G$23,3,FALSE)</f>
        <v>#N/A</v>
      </c>
      <c r="F27" s="155" t="e">
        <f>VLOOKUP(A27,'Water Project Data'!$A$3:$G$23,7,FALSE)</f>
        <v>#N/A</v>
      </c>
      <c r="G27" s="109">
        <v>1950</v>
      </c>
      <c r="H27" s="31">
        <f>1-((2014-G27)/VLOOKUP(D27,Data!$B$4:$C$10,2,FALSE))</f>
        <v>0.36</v>
      </c>
      <c r="I27" s="185">
        <f t="shared" si="0"/>
        <v>0.64</v>
      </c>
      <c r="J27" s="154" t="e">
        <f>((3.1415*((VLOOKUP(E27,Data!$A$27:$B$35,2,FALSE)/12)^2))/4)*7.48*60*5</f>
        <v>#N/A</v>
      </c>
      <c r="K27" s="151" t="e">
        <f>((3.1415*((VLOOKUP(F27,Data!$A$28:$B$35,2,FALSE)/12)^2))/4)*7.48*60*5</f>
        <v>#N/A</v>
      </c>
      <c r="L27" s="276" t="s">
        <v>108</v>
      </c>
      <c r="M27" s="276"/>
      <c r="N27" s="276"/>
      <c r="O27" s="305" t="e">
        <f t="shared" si="1"/>
        <v>#N/A</v>
      </c>
      <c r="P27" s="306"/>
      <c r="Q27" s="149" t="e">
        <f t="shared" si="2"/>
        <v>#N/A</v>
      </c>
      <c r="R27" s="143">
        <f>IFERROR(IF(O27&gt;0,(Q27*VLOOKUP(A27,'Water Project Data'!$A$3:$Y$23,25,FALSE)),Q27*VLOOKUP(A27,'Water Project Data'!$A$3:$Y$23,23,FALSE)),0)</f>
        <v>0</v>
      </c>
      <c r="S27" s="152" t="e">
        <f t="shared" si="3"/>
        <v>#N/A</v>
      </c>
      <c r="T27" s="152" t="e">
        <f t="shared" si="4"/>
        <v>#N/A</v>
      </c>
      <c r="U27" s="153">
        <f t="shared" si="5"/>
        <v>0</v>
      </c>
    </row>
    <row r="28" spans="1:21" ht="21.75" customHeight="1" x14ac:dyDescent="0.25">
      <c r="A28" s="145"/>
      <c r="B28" s="133" t="e">
        <f>VLOOKUP(A28,'Water Project Data'!$A$3:$G$23,2,FALSE)</f>
        <v>#N/A</v>
      </c>
      <c r="C28" s="139" t="s">
        <v>106</v>
      </c>
      <c r="D28" s="186" t="s">
        <v>107</v>
      </c>
      <c r="E28" s="133" t="e">
        <f>VLOOKUP(A28,'Water Project Data'!$A$3:$G$23,3,FALSE)</f>
        <v>#N/A</v>
      </c>
      <c r="F28" s="155" t="e">
        <f>VLOOKUP(A28,'Water Project Data'!$A$3:$G$23,7,FALSE)</f>
        <v>#N/A</v>
      </c>
      <c r="G28" s="109">
        <v>1950</v>
      </c>
      <c r="H28" s="31">
        <f>1-((2014-G28)/VLOOKUP(D28,Data!$B$4:$C$10,2,FALSE))</f>
        <v>0.36</v>
      </c>
      <c r="I28" s="185">
        <f t="shared" si="0"/>
        <v>0.64</v>
      </c>
      <c r="J28" s="154" t="e">
        <f>((3.1415*((VLOOKUP(E28,Data!$A$27:$B$35,2,FALSE)/12)^2))/4)*7.48*60*5</f>
        <v>#N/A</v>
      </c>
      <c r="K28" s="151" t="e">
        <f>((3.1415*((VLOOKUP(F28,Data!$A$28:$B$35,2,FALSE)/12)^2))/4)*7.48*60*5</f>
        <v>#N/A</v>
      </c>
      <c r="L28" s="276" t="s">
        <v>108</v>
      </c>
      <c r="M28" s="276"/>
      <c r="N28" s="276"/>
      <c r="O28" s="305" t="e">
        <f t="shared" si="1"/>
        <v>#N/A</v>
      </c>
      <c r="P28" s="306"/>
      <c r="Q28" s="149" t="e">
        <f t="shared" si="2"/>
        <v>#N/A</v>
      </c>
      <c r="R28" s="143">
        <f>IFERROR(IF(O28&gt;0,(Q28*VLOOKUP(A28,'Water Project Data'!$A$3:$Y$23,25,FALSE)),Q28*VLOOKUP(A28,'Water Project Data'!$A$3:$Y$23,23,FALSE)),0)</f>
        <v>0</v>
      </c>
      <c r="S28" s="152" t="e">
        <f t="shared" si="3"/>
        <v>#N/A</v>
      </c>
      <c r="T28" s="152" t="e">
        <f t="shared" si="4"/>
        <v>#N/A</v>
      </c>
      <c r="U28" s="153">
        <f t="shared" si="5"/>
        <v>0</v>
      </c>
    </row>
    <row r="29" spans="1:21" ht="21.75" customHeight="1" x14ac:dyDescent="0.25">
      <c r="A29" s="145"/>
      <c r="B29" s="133" t="e">
        <f>VLOOKUP(A29,'Water Project Data'!$A$3:$G$23,2,FALSE)</f>
        <v>#N/A</v>
      </c>
      <c r="C29" s="139" t="s">
        <v>106</v>
      </c>
      <c r="D29" s="186" t="s">
        <v>107</v>
      </c>
      <c r="E29" s="133" t="e">
        <f>VLOOKUP(A29,'Water Project Data'!$A$3:$G$23,3,FALSE)</f>
        <v>#N/A</v>
      </c>
      <c r="F29" s="155" t="e">
        <f>VLOOKUP(A29,'Water Project Data'!$A$3:$G$23,7,FALSE)</f>
        <v>#N/A</v>
      </c>
      <c r="G29" s="109">
        <v>1950</v>
      </c>
      <c r="H29" s="31">
        <f>1-((2014-G29)/VLOOKUP(D29,Data!$B$4:$C$10,2,FALSE))</f>
        <v>0.36</v>
      </c>
      <c r="I29" s="185">
        <f t="shared" si="0"/>
        <v>0.64</v>
      </c>
      <c r="J29" s="154" t="e">
        <f>((3.1415*((VLOOKUP(E29,Data!$A$27:$B$35,2,FALSE)/12)^2))/4)*7.48*60*5</f>
        <v>#N/A</v>
      </c>
      <c r="K29" s="151" t="e">
        <f>((3.1415*((VLOOKUP(F29,Data!$A$28:$B$35,2,FALSE)/12)^2))/4)*7.48*60*5</f>
        <v>#N/A</v>
      </c>
      <c r="L29" s="276" t="s">
        <v>108</v>
      </c>
      <c r="M29" s="276"/>
      <c r="N29" s="276"/>
      <c r="O29" s="305" t="e">
        <f t="shared" si="1"/>
        <v>#N/A</v>
      </c>
      <c r="P29" s="306"/>
      <c r="Q29" s="149" t="e">
        <f t="shared" si="2"/>
        <v>#N/A</v>
      </c>
      <c r="R29" s="143">
        <f>IFERROR(IF(O29&gt;0,(Q29*VLOOKUP(A29,'Water Project Data'!$A$3:$Y$23,25,FALSE)),Q29*VLOOKUP(A29,'Water Project Data'!$A$3:$Y$23,23,FALSE)),0)</f>
        <v>0</v>
      </c>
      <c r="S29" s="152" t="e">
        <f t="shared" si="3"/>
        <v>#N/A</v>
      </c>
      <c r="T29" s="152" t="e">
        <f t="shared" si="4"/>
        <v>#N/A</v>
      </c>
      <c r="U29" s="153">
        <f t="shared" si="5"/>
        <v>0</v>
      </c>
    </row>
    <row r="30" spans="1:21" ht="21.75" customHeight="1" x14ac:dyDescent="0.25">
      <c r="A30" s="145"/>
      <c r="B30" s="133" t="e">
        <f>VLOOKUP(A30,'Water Project Data'!$A$3:$G$23,2,FALSE)</f>
        <v>#N/A</v>
      </c>
      <c r="C30" s="139" t="s">
        <v>106</v>
      </c>
      <c r="D30" s="186" t="s">
        <v>107</v>
      </c>
      <c r="E30" s="133" t="e">
        <f>VLOOKUP(A30,'Water Project Data'!$A$3:$G$23,3,FALSE)</f>
        <v>#N/A</v>
      </c>
      <c r="F30" s="155" t="e">
        <f>VLOOKUP(A30,'Water Project Data'!$A$3:$G$23,7,FALSE)</f>
        <v>#N/A</v>
      </c>
      <c r="G30" s="109">
        <v>1950</v>
      </c>
      <c r="H30" s="31">
        <f>1-((2014-G30)/VLOOKUP(D30,Data!$B$4:$C$10,2,FALSE))</f>
        <v>0.36</v>
      </c>
      <c r="I30" s="185">
        <f t="shared" si="0"/>
        <v>0.64</v>
      </c>
      <c r="J30" s="154" t="e">
        <f>((3.1415*((VLOOKUP(E30,Data!$A$27:$B$35,2,FALSE)/12)^2))/4)*7.48*60*5</f>
        <v>#N/A</v>
      </c>
      <c r="K30" s="151" t="e">
        <f>((3.1415*((VLOOKUP(F30,Data!$A$28:$B$35,2,FALSE)/12)^2))/4)*7.48*60*5</f>
        <v>#N/A</v>
      </c>
      <c r="L30" s="276" t="s">
        <v>108</v>
      </c>
      <c r="M30" s="276"/>
      <c r="N30" s="276"/>
      <c r="O30" s="305" t="e">
        <f t="shared" si="1"/>
        <v>#N/A</v>
      </c>
      <c r="P30" s="306"/>
      <c r="Q30" s="149" t="e">
        <f t="shared" si="2"/>
        <v>#N/A</v>
      </c>
      <c r="R30" s="143">
        <f>IFERROR(IF(O30&gt;0,(Q30*VLOOKUP(A30,'Water Project Data'!$A$3:$Y$23,25,FALSE)),Q30*VLOOKUP(A30,'Water Project Data'!$A$3:$Y$23,23,FALSE)),0)</f>
        <v>0</v>
      </c>
      <c r="S30" s="152" t="e">
        <f t="shared" si="3"/>
        <v>#N/A</v>
      </c>
      <c r="T30" s="152" t="e">
        <f t="shared" si="4"/>
        <v>#N/A</v>
      </c>
      <c r="U30" s="153">
        <f t="shared" si="5"/>
        <v>0</v>
      </c>
    </row>
    <row r="31" spans="1:21" ht="21.75" customHeight="1" x14ac:dyDescent="0.25">
      <c r="A31" s="145"/>
      <c r="B31" s="133" t="e">
        <f>VLOOKUP(A31,'Water Project Data'!$A$3:$G$23,2,FALSE)</f>
        <v>#N/A</v>
      </c>
      <c r="C31" s="139" t="s">
        <v>106</v>
      </c>
      <c r="D31" s="186" t="s">
        <v>107</v>
      </c>
      <c r="E31" s="133" t="e">
        <f>VLOOKUP(A31,'Water Project Data'!$A$3:$G$23,3,FALSE)</f>
        <v>#N/A</v>
      </c>
      <c r="F31" s="155" t="e">
        <f>VLOOKUP(A31,'Water Project Data'!$A$3:$G$23,7,FALSE)</f>
        <v>#N/A</v>
      </c>
      <c r="G31" s="109">
        <v>1950</v>
      </c>
      <c r="H31" s="31">
        <f>1-((2014-G31)/VLOOKUP(D31,Data!$B$4:$C$10,2,FALSE))</f>
        <v>0.36</v>
      </c>
      <c r="I31" s="185">
        <f t="shared" si="0"/>
        <v>0.64</v>
      </c>
      <c r="J31" s="154" t="e">
        <f>((3.1415*((VLOOKUP(E31,Data!$A$27:$B$35,2,FALSE)/12)^2))/4)*7.48*60*5</f>
        <v>#N/A</v>
      </c>
      <c r="K31" s="151" t="e">
        <f>((3.1415*((VLOOKUP(F31,Data!$A$28:$B$35,2,FALSE)/12)^2))/4)*7.48*60*5</f>
        <v>#N/A</v>
      </c>
      <c r="L31" s="276" t="s">
        <v>108</v>
      </c>
      <c r="M31" s="276"/>
      <c r="N31" s="276"/>
      <c r="O31" s="305" t="e">
        <f t="shared" si="1"/>
        <v>#N/A</v>
      </c>
      <c r="P31" s="306"/>
      <c r="Q31" s="149" t="e">
        <f t="shared" si="2"/>
        <v>#N/A</v>
      </c>
      <c r="R31" s="143">
        <f>IFERROR(IF(O31&gt;0,(Q31*VLOOKUP(A31,'Water Project Data'!$A$3:$Y$23,25,FALSE)),Q31*VLOOKUP(A31,'Water Project Data'!$A$3:$Y$23,23,FALSE)),0)</f>
        <v>0</v>
      </c>
      <c r="S31" s="152" t="e">
        <f t="shared" si="3"/>
        <v>#N/A</v>
      </c>
      <c r="T31" s="152" t="e">
        <f t="shared" si="4"/>
        <v>#N/A</v>
      </c>
      <c r="U31" s="153">
        <f t="shared" si="5"/>
        <v>0</v>
      </c>
    </row>
    <row r="32" spans="1:21" ht="21.75" customHeight="1" x14ac:dyDescent="0.25">
      <c r="A32" s="145"/>
      <c r="B32" s="133" t="e">
        <f>VLOOKUP(A32,'Water Project Data'!$A$3:$G$23,2,FALSE)</f>
        <v>#N/A</v>
      </c>
      <c r="C32" s="139" t="s">
        <v>106</v>
      </c>
      <c r="D32" s="186" t="s">
        <v>107</v>
      </c>
      <c r="E32" s="133" t="e">
        <f>VLOOKUP(A32,'Water Project Data'!$A$3:$G$23,3,FALSE)</f>
        <v>#N/A</v>
      </c>
      <c r="F32" s="155" t="e">
        <f>VLOOKUP(A32,'Water Project Data'!$A$3:$G$23,7,FALSE)</f>
        <v>#N/A</v>
      </c>
      <c r="G32" s="109">
        <v>1950</v>
      </c>
      <c r="H32" s="31">
        <f>1-((2014-G32)/VLOOKUP(D32,Data!$B$4:$C$10,2,FALSE))</f>
        <v>0.36</v>
      </c>
      <c r="I32" s="185">
        <f t="shared" si="0"/>
        <v>0.64</v>
      </c>
      <c r="J32" s="154" t="e">
        <f>((3.1415*((VLOOKUP(E32,Data!$A$27:$B$35,2,FALSE)/12)^2))/4)*7.48*60*5</f>
        <v>#N/A</v>
      </c>
      <c r="K32" s="151" t="e">
        <f>((3.1415*((VLOOKUP(F32,Data!$A$28:$B$35,2,FALSE)/12)^2))/4)*7.48*60*5</f>
        <v>#N/A</v>
      </c>
      <c r="L32" s="276" t="s">
        <v>108</v>
      </c>
      <c r="M32" s="276"/>
      <c r="N32" s="276"/>
      <c r="O32" s="305" t="e">
        <f t="shared" si="1"/>
        <v>#N/A</v>
      </c>
      <c r="P32" s="306"/>
      <c r="Q32" s="149" t="e">
        <f t="shared" si="2"/>
        <v>#N/A</v>
      </c>
      <c r="R32" s="143">
        <f>IFERROR(IF(O32&gt;0,(Q32*VLOOKUP(A32,'Water Project Data'!$A$3:$Y$23,25,FALSE)),Q32*VLOOKUP(A32,'Water Project Data'!$A$3:$Y$23,23,FALSE)),0)</f>
        <v>0</v>
      </c>
      <c r="S32" s="152" t="e">
        <f t="shared" si="3"/>
        <v>#N/A</v>
      </c>
      <c r="T32" s="152" t="e">
        <f t="shared" si="4"/>
        <v>#N/A</v>
      </c>
      <c r="U32" s="153">
        <f t="shared" si="5"/>
        <v>0</v>
      </c>
    </row>
    <row r="33" spans="1:34" ht="21.75" customHeight="1" x14ac:dyDescent="0.25">
      <c r="A33" s="145"/>
      <c r="B33" s="133" t="e">
        <f>VLOOKUP(A33,'Water Project Data'!$A$3:$G$23,2,FALSE)</f>
        <v>#N/A</v>
      </c>
      <c r="C33" s="139" t="s">
        <v>106</v>
      </c>
      <c r="D33" s="186" t="s">
        <v>107</v>
      </c>
      <c r="E33" s="133" t="e">
        <f>VLOOKUP(A33,'Water Project Data'!$A$3:$G$23,3,FALSE)</f>
        <v>#N/A</v>
      </c>
      <c r="F33" s="155" t="e">
        <f>VLOOKUP(A33,'Water Project Data'!$A$3:$G$23,7,FALSE)</f>
        <v>#N/A</v>
      </c>
      <c r="G33" s="109">
        <v>1950</v>
      </c>
      <c r="H33" s="31">
        <f>1-((2014-G33)/VLOOKUP(D33,Data!$B$4:$C$10,2,FALSE))</f>
        <v>0.36</v>
      </c>
      <c r="I33" s="185">
        <f t="shared" si="0"/>
        <v>0.64</v>
      </c>
      <c r="J33" s="154" t="e">
        <f>((3.1415*((VLOOKUP(E33,Data!$A$27:$B$35,2,FALSE)/12)^2))/4)*7.48*60*5</f>
        <v>#N/A</v>
      </c>
      <c r="K33" s="151" t="e">
        <f>((3.1415*((VLOOKUP(F33,Data!$A$28:$B$35,2,FALSE)/12)^2))/4)*7.48*60*5</f>
        <v>#N/A</v>
      </c>
      <c r="L33" s="276" t="s">
        <v>108</v>
      </c>
      <c r="M33" s="276"/>
      <c r="N33" s="276"/>
      <c r="O33" s="305" t="e">
        <f t="shared" si="1"/>
        <v>#N/A</v>
      </c>
      <c r="P33" s="306"/>
      <c r="Q33" s="149" t="e">
        <f t="shared" si="2"/>
        <v>#N/A</v>
      </c>
      <c r="R33" s="143">
        <f>IFERROR(IF(O33&gt;0,(Q33*VLOOKUP(A33,'Water Project Data'!$A$3:$Y$23,25,FALSE)),Q33*VLOOKUP(A33,'Water Project Data'!$A$3:$Y$23,23,FALSE)),0)</f>
        <v>0</v>
      </c>
      <c r="S33" s="152" t="e">
        <f t="shared" si="3"/>
        <v>#N/A</v>
      </c>
      <c r="T33" s="152" t="e">
        <f t="shared" si="4"/>
        <v>#N/A</v>
      </c>
      <c r="U33" s="153">
        <f t="shared" si="5"/>
        <v>0</v>
      </c>
    </row>
    <row r="34" spans="1:34" ht="21.75" customHeight="1" x14ac:dyDescent="0.25">
      <c r="A34" s="145"/>
      <c r="B34" s="133" t="e">
        <f>VLOOKUP(A34,'Water Project Data'!$A$3:$G$23,2,FALSE)</f>
        <v>#N/A</v>
      </c>
      <c r="C34" s="139" t="s">
        <v>106</v>
      </c>
      <c r="D34" s="186" t="s">
        <v>107</v>
      </c>
      <c r="E34" s="133" t="e">
        <f>VLOOKUP(A34,'Water Project Data'!$A$3:$G$23,3,FALSE)</f>
        <v>#N/A</v>
      </c>
      <c r="F34" s="155" t="e">
        <f>VLOOKUP(A34,'Water Project Data'!$A$3:$G$23,7,FALSE)</f>
        <v>#N/A</v>
      </c>
      <c r="G34" s="109">
        <v>1950</v>
      </c>
      <c r="H34" s="31">
        <f>1-((2014-G34)/VLOOKUP(D34,Data!$B$4:$C$10,2,FALSE))</f>
        <v>0.36</v>
      </c>
      <c r="I34" s="185">
        <f t="shared" si="0"/>
        <v>0.64</v>
      </c>
      <c r="J34" s="154" t="e">
        <f>((3.1415*((VLOOKUP(E34,Data!$A$27:$B$35,2,FALSE)/12)^2))/4)*7.48*60*5</f>
        <v>#N/A</v>
      </c>
      <c r="K34" s="151" t="e">
        <f>((3.1415*((VLOOKUP(F34,Data!$A$28:$B$35,2,FALSE)/12)^2))/4)*7.48*60*5</f>
        <v>#N/A</v>
      </c>
      <c r="L34" s="276" t="s">
        <v>108</v>
      </c>
      <c r="M34" s="276"/>
      <c r="N34" s="276"/>
      <c r="O34" s="305" t="e">
        <f t="shared" si="1"/>
        <v>#N/A</v>
      </c>
      <c r="P34" s="306"/>
      <c r="Q34" s="149" t="e">
        <f t="shared" si="2"/>
        <v>#N/A</v>
      </c>
      <c r="R34" s="143">
        <f>IFERROR(IF(O34&gt;0,(Q34*VLOOKUP(A34,'Water Project Data'!$A$3:$Y$23,25,FALSE)),Q34*VLOOKUP(A34,'Water Project Data'!$A$3:$Y$23,23,FALSE)),0)</f>
        <v>0</v>
      </c>
      <c r="S34" s="152" t="e">
        <f t="shared" si="3"/>
        <v>#N/A</v>
      </c>
      <c r="T34" s="152" t="e">
        <f t="shared" si="4"/>
        <v>#N/A</v>
      </c>
      <c r="U34" s="153">
        <f t="shared" si="5"/>
        <v>0</v>
      </c>
    </row>
    <row r="35" spans="1:34" x14ac:dyDescent="0.25">
      <c r="I35" s="1"/>
      <c r="O35" s="32"/>
      <c r="P35" s="32"/>
      <c r="Q35" s="32"/>
      <c r="R35" s="33" t="s">
        <v>109</v>
      </c>
      <c r="S35" s="34" t="e">
        <f>SUM(S15:S15)</f>
        <v>#N/A</v>
      </c>
      <c r="T35" s="34" t="e">
        <f>SUM(T15:T15)</f>
        <v>#N/A</v>
      </c>
      <c r="U35" s="34">
        <f>SUM(U15:U15)</f>
        <v>0</v>
      </c>
    </row>
    <row r="37" spans="1:34" ht="12.75" customHeight="1" x14ac:dyDescent="0.25">
      <c r="A37" s="291" t="s">
        <v>110</v>
      </c>
      <c r="B37" s="292"/>
      <c r="C37" s="292"/>
      <c r="D37" s="292"/>
      <c r="E37" s="292"/>
      <c r="F37" s="292"/>
      <c r="G37" s="292"/>
      <c r="H37" s="292"/>
      <c r="I37" s="292"/>
      <c r="J37" s="292"/>
      <c r="K37" s="292"/>
      <c r="L37" s="292"/>
      <c r="M37" s="292"/>
      <c r="N37" s="292"/>
      <c r="O37" s="292"/>
      <c r="P37" s="292"/>
      <c r="Q37" s="292"/>
      <c r="R37" s="292"/>
      <c r="S37" s="292"/>
      <c r="T37" s="292"/>
      <c r="U37" s="292"/>
      <c r="W37" s="279" t="s">
        <v>111</v>
      </c>
      <c r="X37" s="279"/>
      <c r="Y37" s="279"/>
      <c r="Z37" s="279"/>
      <c r="AA37" s="279"/>
      <c r="AB37" s="279"/>
      <c r="AC37" s="279"/>
      <c r="AD37" s="279"/>
      <c r="AE37" s="279"/>
      <c r="AF37" s="279"/>
      <c r="AG37" s="279"/>
      <c r="AH37" s="279"/>
    </row>
    <row r="38" spans="1:34" ht="13.5" customHeight="1" thickBot="1" x14ac:dyDescent="0.3">
      <c r="A38" s="293"/>
      <c r="B38" s="294"/>
      <c r="C38" s="294"/>
      <c r="D38" s="294"/>
      <c r="E38" s="294"/>
      <c r="F38" s="294"/>
      <c r="G38" s="294"/>
      <c r="H38" s="294"/>
      <c r="I38" s="294"/>
      <c r="J38" s="294"/>
      <c r="K38" s="294"/>
      <c r="L38" s="294"/>
      <c r="M38" s="294"/>
      <c r="N38" s="294"/>
      <c r="O38" s="294"/>
      <c r="P38" s="294"/>
      <c r="Q38" s="294"/>
      <c r="R38" s="294"/>
      <c r="S38" s="294"/>
      <c r="T38" s="294"/>
      <c r="U38" s="294"/>
      <c r="W38" s="279"/>
      <c r="X38" s="279"/>
      <c r="Y38" s="279"/>
      <c r="Z38" s="279"/>
      <c r="AA38" s="279"/>
      <c r="AB38" s="279"/>
      <c r="AC38" s="279"/>
      <c r="AD38" s="279"/>
      <c r="AE38" s="279"/>
      <c r="AF38" s="279"/>
      <c r="AG38" s="279"/>
      <c r="AH38" s="279"/>
    </row>
    <row r="39" spans="1:34" ht="15.6" x14ac:dyDescent="0.3">
      <c r="A39" s="287" t="s">
        <v>85</v>
      </c>
      <c r="B39" s="288"/>
      <c r="C39" s="288"/>
      <c r="D39" s="288"/>
      <c r="E39" s="288"/>
      <c r="F39" s="289"/>
      <c r="G39" s="307" t="s">
        <v>86</v>
      </c>
      <c r="H39" s="308"/>
      <c r="I39" s="287" t="s">
        <v>87</v>
      </c>
      <c r="J39" s="288"/>
      <c r="K39" s="288"/>
      <c r="L39" s="288"/>
      <c r="M39" s="288"/>
      <c r="N39" s="288"/>
      <c r="O39" s="288"/>
      <c r="P39" s="289"/>
      <c r="Q39" s="284" t="s">
        <v>88</v>
      </c>
      <c r="R39" s="285"/>
      <c r="S39" s="285"/>
      <c r="T39" s="285"/>
      <c r="U39" s="286"/>
      <c r="W39" s="279"/>
      <c r="X39" s="279"/>
      <c r="Y39" s="279"/>
      <c r="Z39" s="279"/>
      <c r="AA39" s="279"/>
      <c r="AB39" s="279"/>
      <c r="AC39" s="279"/>
      <c r="AD39" s="279"/>
      <c r="AE39" s="279"/>
      <c r="AF39" s="279"/>
      <c r="AG39" s="279"/>
      <c r="AH39" s="279"/>
    </row>
    <row r="40" spans="1:34" ht="110.4" x14ac:dyDescent="0.25">
      <c r="A40" s="190" t="s">
        <v>89</v>
      </c>
      <c r="B40" s="191" t="s">
        <v>112</v>
      </c>
      <c r="C40" s="192"/>
      <c r="D40" s="191" t="s">
        <v>91</v>
      </c>
      <c r="E40" s="191" t="s">
        <v>113</v>
      </c>
      <c r="F40" s="193" t="s">
        <v>114</v>
      </c>
      <c r="G40" s="194" t="s">
        <v>115</v>
      </c>
      <c r="H40" s="195" t="s">
        <v>96</v>
      </c>
      <c r="I40" s="190" t="s">
        <v>116</v>
      </c>
      <c r="J40" s="191" t="s">
        <v>117</v>
      </c>
      <c r="K40" s="191" t="s">
        <v>118</v>
      </c>
      <c r="L40" s="191" t="s">
        <v>119</v>
      </c>
      <c r="M40" s="191" t="s">
        <v>120</v>
      </c>
      <c r="N40" s="191" t="s">
        <v>121</v>
      </c>
      <c r="O40" s="191" t="s">
        <v>122</v>
      </c>
      <c r="P40" s="193" t="s">
        <v>123</v>
      </c>
      <c r="Q40" s="194" t="s">
        <v>101</v>
      </c>
      <c r="R40" s="196" t="s">
        <v>124</v>
      </c>
      <c r="S40" s="196" t="s">
        <v>103</v>
      </c>
      <c r="T40" s="196" t="s">
        <v>104</v>
      </c>
      <c r="U40" s="195" t="s">
        <v>105</v>
      </c>
      <c r="W40" s="204" t="s">
        <v>125</v>
      </c>
      <c r="X40" s="204" t="s">
        <v>126</v>
      </c>
      <c r="Y40" s="204" t="s">
        <v>127</v>
      </c>
      <c r="Z40" s="204" t="s">
        <v>128</v>
      </c>
      <c r="AA40" s="204" t="s">
        <v>129</v>
      </c>
      <c r="AB40" s="204" t="s">
        <v>130</v>
      </c>
      <c r="AC40" s="204" t="s">
        <v>131</v>
      </c>
      <c r="AD40" s="204" t="s">
        <v>132</v>
      </c>
      <c r="AE40" s="204" t="s">
        <v>133</v>
      </c>
      <c r="AF40" s="204" t="s">
        <v>100</v>
      </c>
      <c r="AG40" s="204" t="s">
        <v>134</v>
      </c>
      <c r="AH40" s="204" t="s">
        <v>135</v>
      </c>
    </row>
    <row r="41" spans="1:34" ht="22.8" x14ac:dyDescent="0.25">
      <c r="A41" s="145"/>
      <c r="B41" s="138" t="e">
        <f>VLOOKUP(A41,'Sewer Project Data'!$A$3:$N$27,2,FALSE)</f>
        <v>#N/A</v>
      </c>
      <c r="C41" s="139" t="s">
        <v>106</v>
      </c>
      <c r="D41" s="186" t="s">
        <v>136</v>
      </c>
      <c r="E41" s="140" t="e">
        <f>VLOOKUP(A41,'Sewer Project Data'!$A$3:$N$27,3,FALSE)</f>
        <v>#N/A</v>
      </c>
      <c r="F41" s="146" t="e">
        <f>VLOOKUP(A41,'Sewer Project Data'!$A$3:$N$27,9,FALSE)</f>
        <v>#N/A</v>
      </c>
      <c r="G41" s="148">
        <v>1</v>
      </c>
      <c r="H41" s="185">
        <f>IF(G41&gt;1,((G41-1)*0.25),0)</f>
        <v>0</v>
      </c>
      <c r="I41" s="109">
        <v>0</v>
      </c>
      <c r="J41" s="186">
        <v>0</v>
      </c>
      <c r="K41" s="140">
        <f t="shared" ref="K41:K60" si="6">I41+$P$9</f>
        <v>0</v>
      </c>
      <c r="L41" s="186">
        <v>0</v>
      </c>
      <c r="M41" s="141" t="e">
        <f>$P$9/(L41/2)</f>
        <v>#DIV/0!</v>
      </c>
      <c r="N41" s="142" t="e">
        <f>AF41</f>
        <v>#DIV/0!</v>
      </c>
      <c r="O41" s="184" t="e">
        <f>AG41</f>
        <v>#DIV/0!</v>
      </c>
      <c r="P41" s="185" t="e">
        <f>AH41</f>
        <v>#DIV/0!</v>
      </c>
      <c r="Q41" s="149" t="e">
        <f>MAX(N41,H41)</f>
        <v>#DIV/0!</v>
      </c>
      <c r="R41" s="143" t="e">
        <f>Q41*VLOOKUP(A41,'Sewer Project Data'!$A$3:$AM$27,39,FALSE)</f>
        <v>#DIV/0!</v>
      </c>
      <c r="S41" s="144" t="e">
        <f>(((O41*N41)+(H41))/(H41+N41))*U41</f>
        <v>#DIV/0!</v>
      </c>
      <c r="T41" s="144" t="e">
        <f>(((P41*N41)/(H41+N41)))*U41</f>
        <v>#DIV/0!</v>
      </c>
      <c r="U41" s="150">
        <f>IFERROR(R41*B41,0)</f>
        <v>0</v>
      </c>
      <c r="V41" s="2"/>
      <c r="W41" s="29">
        <f>J41/2</f>
        <v>0</v>
      </c>
      <c r="X41" s="29">
        <f>IF(I41&gt;(J41)*0.65,W41,IF(I41&gt;(J41/2),(Z41/W41/2)*W41*100/15,IF((I41&lt;=(J41/2)),0)))</f>
        <v>0</v>
      </c>
      <c r="Y41" s="29">
        <f>W41-X41</f>
        <v>0</v>
      </c>
      <c r="Z41" s="29">
        <f>IF(I41&gt;(J41/2),I41-(J41/2),0)</f>
        <v>0</v>
      </c>
      <c r="AA41" s="29">
        <f>$P$9</f>
        <v>0</v>
      </c>
      <c r="AB41" s="29">
        <f>IF((L41/2)&gt;(W41+Z41+AA41),(L41/2)-(W41+Z41+AA41),0)</f>
        <v>0</v>
      </c>
      <c r="AC41" s="29">
        <f>AB41+AA41+Z41+W41</f>
        <v>0</v>
      </c>
      <c r="AD41" s="29">
        <f>Y41+AA41</f>
        <v>0</v>
      </c>
      <c r="AE41" s="29">
        <f>Z41+AB41+X41</f>
        <v>0</v>
      </c>
      <c r="AF41" s="30" t="e">
        <f>AE41/(L41/2)</f>
        <v>#DIV/0!</v>
      </c>
      <c r="AG41" s="30" t="e">
        <f>(X41+Z41)/(X41+Z41+AB41)</f>
        <v>#DIV/0!</v>
      </c>
      <c r="AH41" s="30" t="e">
        <f>AB41/(X41+Z41+AB41)</f>
        <v>#DIV/0!</v>
      </c>
    </row>
    <row r="42" spans="1:34" ht="22.8" x14ac:dyDescent="0.25">
      <c r="A42" s="145"/>
      <c r="B42" s="138" t="e">
        <f>VLOOKUP(A42,'Sewer Project Data'!$A$3:$N$27,2,FALSE)</f>
        <v>#N/A</v>
      </c>
      <c r="C42" s="139" t="s">
        <v>106</v>
      </c>
      <c r="D42" s="186" t="s">
        <v>136</v>
      </c>
      <c r="E42" s="140" t="e">
        <f>VLOOKUP(A42,'Sewer Project Data'!$A$3:$N$27,3,FALSE)</f>
        <v>#N/A</v>
      </c>
      <c r="F42" s="146" t="e">
        <f>VLOOKUP(A42,'Sewer Project Data'!$A$3:$N$27,9,FALSE)</f>
        <v>#N/A</v>
      </c>
      <c r="G42" s="148">
        <v>1</v>
      </c>
      <c r="H42" s="185">
        <f>IF(G42&gt;1,((G42-1)*0.25),0)</f>
        <v>0</v>
      </c>
      <c r="I42" s="109">
        <v>0</v>
      </c>
      <c r="J42" s="186">
        <v>0</v>
      </c>
      <c r="K42" s="140">
        <f t="shared" si="6"/>
        <v>0</v>
      </c>
      <c r="L42" s="186">
        <v>0</v>
      </c>
      <c r="M42" s="141" t="e">
        <f t="shared" ref="M42:M60" si="7">$P$9/(L42/2)</f>
        <v>#DIV/0!</v>
      </c>
      <c r="N42" s="142" t="e">
        <f t="shared" ref="N42:N60" si="8">AF42</f>
        <v>#DIV/0!</v>
      </c>
      <c r="O42" s="184" t="e">
        <f t="shared" ref="O42:O60" si="9">AG42</f>
        <v>#DIV/0!</v>
      </c>
      <c r="P42" s="185" t="e">
        <f t="shared" ref="P42:P60" si="10">AH42</f>
        <v>#DIV/0!</v>
      </c>
      <c r="Q42" s="149" t="e">
        <f t="shared" ref="Q42:Q60" si="11">MAX(N42,H42)</f>
        <v>#DIV/0!</v>
      </c>
      <c r="R42" s="143" t="e">
        <f>Q42*VLOOKUP(A42,'Sewer Project Data'!$A$3:$AM$27,39,FALSE)</f>
        <v>#DIV/0!</v>
      </c>
      <c r="S42" s="144" t="e">
        <f t="shared" ref="S42:S65" si="12">(((O42*N42)+(H42))/(H42+N42))*U42</f>
        <v>#DIV/0!</v>
      </c>
      <c r="T42" s="144" t="e">
        <f t="shared" ref="T42:T60" si="13">(((P42*N42)/(H42+N42)))*U42</f>
        <v>#DIV/0!</v>
      </c>
      <c r="U42" s="150">
        <f t="shared" ref="U42:U60" si="14">IFERROR(R42*B42,0)</f>
        <v>0</v>
      </c>
      <c r="V42" s="2"/>
      <c r="W42" s="29">
        <f t="shared" ref="W42:W60" si="15">J42/2</f>
        <v>0</v>
      </c>
      <c r="X42" s="29">
        <f t="shared" ref="X42:X60" si="16">IF(I42&gt;(J42)*0.65,W42,IF(I42&gt;(J42/2),(Z42/W42/2)*W42*100/15,IF((I42&lt;=(J42/2)),0)))</f>
        <v>0</v>
      </c>
      <c r="Y42" s="29">
        <f t="shared" ref="Y42:Y60" si="17">W42-X42</f>
        <v>0</v>
      </c>
      <c r="Z42" s="29">
        <f t="shared" ref="Z42:Z60" si="18">IF(I42&gt;(J42/2),I42-(J42/2),0)</f>
        <v>0</v>
      </c>
      <c r="AA42" s="29">
        <f t="shared" ref="AA42:AA65" si="19">$P$9</f>
        <v>0</v>
      </c>
      <c r="AB42" s="29">
        <f t="shared" ref="AB42:AB60" si="20">IF((L42/2)&gt;(W42+Z42+AA42),(L42/2)-(W42+Z42+AA42),0)</f>
        <v>0</v>
      </c>
      <c r="AC42" s="29">
        <f t="shared" ref="AC42:AC60" si="21">AB42+AA42+Z42+W42</f>
        <v>0</v>
      </c>
      <c r="AD42" s="29">
        <f t="shared" ref="AD42:AD60" si="22">Y42+AA42</f>
        <v>0</v>
      </c>
      <c r="AE42" s="29">
        <f t="shared" ref="AE42:AE60" si="23">Z42+AB42+X42</f>
        <v>0</v>
      </c>
      <c r="AF42" s="30" t="e">
        <f t="shared" ref="AF42:AF60" si="24">AE42/(L42/2)</f>
        <v>#DIV/0!</v>
      </c>
      <c r="AG42" s="30" t="e">
        <f t="shared" ref="AG42:AG60" si="25">(X42+Z42)/(X42+Z42+AB42)</f>
        <v>#DIV/0!</v>
      </c>
      <c r="AH42" s="30" t="e">
        <f>AB42/(X42+Z42+AB42)</f>
        <v>#DIV/0!</v>
      </c>
    </row>
    <row r="43" spans="1:34" ht="22.8" x14ac:dyDescent="0.25">
      <c r="A43" s="145"/>
      <c r="B43" s="138" t="e">
        <f>VLOOKUP(A43,'Sewer Project Data'!$A$3:$N$27,2,FALSE)</f>
        <v>#N/A</v>
      </c>
      <c r="C43" s="139" t="s">
        <v>106</v>
      </c>
      <c r="D43" s="186" t="s">
        <v>136</v>
      </c>
      <c r="E43" s="140" t="e">
        <f>VLOOKUP(A43,'Sewer Project Data'!$A$3:$N$27,3,FALSE)</f>
        <v>#N/A</v>
      </c>
      <c r="F43" s="146" t="e">
        <f>VLOOKUP(A43,'Sewer Project Data'!$A$3:$N$27,9,FALSE)</f>
        <v>#N/A</v>
      </c>
      <c r="G43" s="148">
        <v>1</v>
      </c>
      <c r="H43" s="185">
        <f t="shared" ref="H43:H60" si="26">IF(G43&gt;1,((G43-1)*0.25),0)</f>
        <v>0</v>
      </c>
      <c r="I43" s="109">
        <v>0</v>
      </c>
      <c r="J43" s="186">
        <v>0</v>
      </c>
      <c r="K43" s="140">
        <f t="shared" si="6"/>
        <v>0</v>
      </c>
      <c r="L43" s="186">
        <v>0</v>
      </c>
      <c r="M43" s="141" t="e">
        <f t="shared" si="7"/>
        <v>#DIV/0!</v>
      </c>
      <c r="N43" s="142" t="e">
        <f t="shared" si="8"/>
        <v>#DIV/0!</v>
      </c>
      <c r="O43" s="184" t="e">
        <f t="shared" si="9"/>
        <v>#DIV/0!</v>
      </c>
      <c r="P43" s="185" t="e">
        <f t="shared" si="10"/>
        <v>#DIV/0!</v>
      </c>
      <c r="Q43" s="149" t="e">
        <f t="shared" si="11"/>
        <v>#DIV/0!</v>
      </c>
      <c r="R43" s="143" t="e">
        <f>Q43*VLOOKUP(A43,'Sewer Project Data'!$A$3:$AM$27,39,FALSE)</f>
        <v>#DIV/0!</v>
      </c>
      <c r="S43" s="144" t="e">
        <f t="shared" si="12"/>
        <v>#DIV/0!</v>
      </c>
      <c r="T43" s="144" t="e">
        <f t="shared" si="13"/>
        <v>#DIV/0!</v>
      </c>
      <c r="U43" s="150">
        <f t="shared" si="14"/>
        <v>0</v>
      </c>
      <c r="V43" s="2"/>
      <c r="W43" s="29">
        <f t="shared" si="15"/>
        <v>0</v>
      </c>
      <c r="X43" s="29">
        <f t="shared" si="16"/>
        <v>0</v>
      </c>
      <c r="Y43" s="29">
        <f t="shared" si="17"/>
        <v>0</v>
      </c>
      <c r="Z43" s="29">
        <f t="shared" si="18"/>
        <v>0</v>
      </c>
      <c r="AA43" s="29">
        <f t="shared" si="19"/>
        <v>0</v>
      </c>
      <c r="AB43" s="29">
        <f t="shared" si="20"/>
        <v>0</v>
      </c>
      <c r="AC43" s="29">
        <f t="shared" si="21"/>
        <v>0</v>
      </c>
      <c r="AD43" s="29">
        <f t="shared" si="22"/>
        <v>0</v>
      </c>
      <c r="AE43" s="29">
        <f t="shared" si="23"/>
        <v>0</v>
      </c>
      <c r="AF43" s="30" t="e">
        <f t="shared" si="24"/>
        <v>#DIV/0!</v>
      </c>
      <c r="AG43" s="30" t="e">
        <f t="shared" si="25"/>
        <v>#DIV/0!</v>
      </c>
      <c r="AH43" s="30" t="e">
        <f t="shared" ref="AH43:AH60" si="27">AB43/(X43+Z43+AB43)</f>
        <v>#DIV/0!</v>
      </c>
    </row>
    <row r="44" spans="1:34" ht="22.8" x14ac:dyDescent="0.25">
      <c r="A44" s="145"/>
      <c r="B44" s="138" t="e">
        <f>VLOOKUP(A44,'Sewer Project Data'!$A$3:$N$27,2,FALSE)</f>
        <v>#N/A</v>
      </c>
      <c r="C44" s="139" t="s">
        <v>106</v>
      </c>
      <c r="D44" s="186" t="s">
        <v>136</v>
      </c>
      <c r="E44" s="140" t="e">
        <f>VLOOKUP(A44,'Sewer Project Data'!$A$3:$N$27,3,FALSE)</f>
        <v>#N/A</v>
      </c>
      <c r="F44" s="146" t="e">
        <f>VLOOKUP(A44,'Sewer Project Data'!$A$3:$N$27,9,FALSE)</f>
        <v>#N/A</v>
      </c>
      <c r="G44" s="148">
        <v>1</v>
      </c>
      <c r="H44" s="185">
        <f t="shared" si="26"/>
        <v>0</v>
      </c>
      <c r="I44" s="109">
        <v>0</v>
      </c>
      <c r="J44" s="186">
        <v>0</v>
      </c>
      <c r="K44" s="140">
        <f t="shared" si="6"/>
        <v>0</v>
      </c>
      <c r="L44" s="186">
        <v>0</v>
      </c>
      <c r="M44" s="141" t="e">
        <f t="shared" si="7"/>
        <v>#DIV/0!</v>
      </c>
      <c r="N44" s="142" t="e">
        <f t="shared" si="8"/>
        <v>#DIV/0!</v>
      </c>
      <c r="O44" s="184" t="e">
        <f t="shared" si="9"/>
        <v>#DIV/0!</v>
      </c>
      <c r="P44" s="185" t="e">
        <f t="shared" si="10"/>
        <v>#DIV/0!</v>
      </c>
      <c r="Q44" s="149" t="e">
        <f t="shared" si="11"/>
        <v>#DIV/0!</v>
      </c>
      <c r="R44" s="143" t="e">
        <f>Q44*VLOOKUP(A44,'Sewer Project Data'!$A$3:$AM$27,39,FALSE)</f>
        <v>#DIV/0!</v>
      </c>
      <c r="S44" s="144" t="e">
        <f t="shared" si="12"/>
        <v>#DIV/0!</v>
      </c>
      <c r="T44" s="144" t="e">
        <f t="shared" si="13"/>
        <v>#DIV/0!</v>
      </c>
      <c r="U44" s="150">
        <f t="shared" si="14"/>
        <v>0</v>
      </c>
      <c r="V44" s="2"/>
      <c r="W44" s="29">
        <f t="shared" si="15"/>
        <v>0</v>
      </c>
      <c r="X44" s="29">
        <f t="shared" si="16"/>
        <v>0</v>
      </c>
      <c r="Y44" s="29">
        <f t="shared" si="17"/>
        <v>0</v>
      </c>
      <c r="Z44" s="29">
        <f t="shared" si="18"/>
        <v>0</v>
      </c>
      <c r="AA44" s="29">
        <f t="shared" si="19"/>
        <v>0</v>
      </c>
      <c r="AB44" s="29">
        <f t="shared" si="20"/>
        <v>0</v>
      </c>
      <c r="AC44" s="29">
        <f t="shared" si="21"/>
        <v>0</v>
      </c>
      <c r="AD44" s="29">
        <f t="shared" si="22"/>
        <v>0</v>
      </c>
      <c r="AE44" s="29">
        <f t="shared" si="23"/>
        <v>0</v>
      </c>
      <c r="AF44" s="30" t="e">
        <f t="shared" si="24"/>
        <v>#DIV/0!</v>
      </c>
      <c r="AG44" s="30" t="e">
        <f t="shared" si="25"/>
        <v>#DIV/0!</v>
      </c>
      <c r="AH44" s="30" t="e">
        <f t="shared" si="27"/>
        <v>#DIV/0!</v>
      </c>
    </row>
    <row r="45" spans="1:34" ht="22.8" x14ac:dyDescent="0.25">
      <c r="A45" s="145"/>
      <c r="B45" s="138" t="e">
        <f>VLOOKUP(A45,'Sewer Project Data'!$A$3:$N$27,2,FALSE)</f>
        <v>#N/A</v>
      </c>
      <c r="C45" s="139" t="s">
        <v>106</v>
      </c>
      <c r="D45" s="186" t="s">
        <v>136</v>
      </c>
      <c r="E45" s="140" t="e">
        <f>VLOOKUP(A45,'Sewer Project Data'!$A$3:$N$27,3,FALSE)</f>
        <v>#N/A</v>
      </c>
      <c r="F45" s="146" t="e">
        <f>VLOOKUP(A45,'Sewer Project Data'!$A$3:$N$27,9,FALSE)</f>
        <v>#N/A</v>
      </c>
      <c r="G45" s="148">
        <v>1</v>
      </c>
      <c r="H45" s="185">
        <f t="shared" si="26"/>
        <v>0</v>
      </c>
      <c r="I45" s="109">
        <v>0</v>
      </c>
      <c r="J45" s="186">
        <v>0</v>
      </c>
      <c r="K45" s="140">
        <f t="shared" si="6"/>
        <v>0</v>
      </c>
      <c r="L45" s="186">
        <v>0</v>
      </c>
      <c r="M45" s="141" t="e">
        <f t="shared" si="7"/>
        <v>#DIV/0!</v>
      </c>
      <c r="N45" s="142" t="e">
        <f t="shared" si="8"/>
        <v>#DIV/0!</v>
      </c>
      <c r="O45" s="184" t="e">
        <f t="shared" si="9"/>
        <v>#DIV/0!</v>
      </c>
      <c r="P45" s="185" t="e">
        <f t="shared" si="10"/>
        <v>#DIV/0!</v>
      </c>
      <c r="Q45" s="149" t="e">
        <f t="shared" si="11"/>
        <v>#DIV/0!</v>
      </c>
      <c r="R45" s="143" t="e">
        <f>Q45*VLOOKUP(A45,'Sewer Project Data'!$A$3:$AM$27,39,FALSE)</f>
        <v>#DIV/0!</v>
      </c>
      <c r="S45" s="144" t="e">
        <f t="shared" si="12"/>
        <v>#DIV/0!</v>
      </c>
      <c r="T45" s="144" t="e">
        <f t="shared" si="13"/>
        <v>#DIV/0!</v>
      </c>
      <c r="U45" s="150">
        <f t="shared" si="14"/>
        <v>0</v>
      </c>
      <c r="V45" s="2"/>
      <c r="W45" s="29">
        <f t="shared" si="15"/>
        <v>0</v>
      </c>
      <c r="X45" s="29">
        <f t="shared" si="16"/>
        <v>0</v>
      </c>
      <c r="Y45" s="29">
        <f t="shared" si="17"/>
        <v>0</v>
      </c>
      <c r="Z45" s="29">
        <f t="shared" si="18"/>
        <v>0</v>
      </c>
      <c r="AA45" s="29">
        <f t="shared" si="19"/>
        <v>0</v>
      </c>
      <c r="AB45" s="29">
        <f t="shared" si="20"/>
        <v>0</v>
      </c>
      <c r="AC45" s="29">
        <f t="shared" si="21"/>
        <v>0</v>
      </c>
      <c r="AD45" s="29">
        <f t="shared" si="22"/>
        <v>0</v>
      </c>
      <c r="AE45" s="29">
        <f t="shared" si="23"/>
        <v>0</v>
      </c>
      <c r="AF45" s="30" t="e">
        <f t="shared" si="24"/>
        <v>#DIV/0!</v>
      </c>
      <c r="AG45" s="30" t="e">
        <f t="shared" si="25"/>
        <v>#DIV/0!</v>
      </c>
      <c r="AH45" s="30" t="e">
        <f t="shared" si="27"/>
        <v>#DIV/0!</v>
      </c>
    </row>
    <row r="46" spans="1:34" ht="22.8" x14ac:dyDescent="0.25">
      <c r="A46" s="145"/>
      <c r="B46" s="138" t="e">
        <f>VLOOKUP(A46,'Sewer Project Data'!$A$3:$N$27,2,FALSE)</f>
        <v>#N/A</v>
      </c>
      <c r="C46" s="139" t="s">
        <v>106</v>
      </c>
      <c r="D46" s="186" t="s">
        <v>136</v>
      </c>
      <c r="E46" s="140" t="e">
        <f>VLOOKUP(A46,'Sewer Project Data'!$A$3:$N$27,3,FALSE)</f>
        <v>#N/A</v>
      </c>
      <c r="F46" s="146" t="e">
        <f>VLOOKUP(A46,'Sewer Project Data'!$A$3:$N$27,9,FALSE)</f>
        <v>#N/A</v>
      </c>
      <c r="G46" s="148">
        <v>1</v>
      </c>
      <c r="H46" s="185">
        <f t="shared" si="26"/>
        <v>0</v>
      </c>
      <c r="I46" s="109">
        <v>0</v>
      </c>
      <c r="J46" s="186">
        <v>0</v>
      </c>
      <c r="K46" s="140">
        <f t="shared" si="6"/>
        <v>0</v>
      </c>
      <c r="L46" s="186">
        <v>0</v>
      </c>
      <c r="M46" s="141" t="e">
        <f t="shared" si="7"/>
        <v>#DIV/0!</v>
      </c>
      <c r="N46" s="142" t="e">
        <f t="shared" si="8"/>
        <v>#DIV/0!</v>
      </c>
      <c r="O46" s="184" t="e">
        <f t="shared" si="9"/>
        <v>#DIV/0!</v>
      </c>
      <c r="P46" s="185" t="e">
        <f t="shared" si="10"/>
        <v>#DIV/0!</v>
      </c>
      <c r="Q46" s="149" t="e">
        <f t="shared" si="11"/>
        <v>#DIV/0!</v>
      </c>
      <c r="R46" s="143" t="e">
        <f>Q46*VLOOKUP(A46,'Sewer Project Data'!$A$3:$AM$27,39,FALSE)</f>
        <v>#DIV/0!</v>
      </c>
      <c r="S46" s="144" t="e">
        <f t="shared" si="12"/>
        <v>#DIV/0!</v>
      </c>
      <c r="T46" s="144" t="e">
        <f t="shared" si="13"/>
        <v>#DIV/0!</v>
      </c>
      <c r="U46" s="150">
        <f t="shared" si="14"/>
        <v>0</v>
      </c>
      <c r="V46" s="2"/>
      <c r="W46" s="29">
        <f t="shared" si="15"/>
        <v>0</v>
      </c>
      <c r="X46" s="29">
        <f t="shared" si="16"/>
        <v>0</v>
      </c>
      <c r="Y46" s="29">
        <f t="shared" si="17"/>
        <v>0</v>
      </c>
      <c r="Z46" s="29">
        <f t="shared" si="18"/>
        <v>0</v>
      </c>
      <c r="AA46" s="29">
        <f t="shared" si="19"/>
        <v>0</v>
      </c>
      <c r="AB46" s="29">
        <f t="shared" si="20"/>
        <v>0</v>
      </c>
      <c r="AC46" s="29">
        <f t="shared" si="21"/>
        <v>0</v>
      </c>
      <c r="AD46" s="29">
        <f t="shared" si="22"/>
        <v>0</v>
      </c>
      <c r="AE46" s="29">
        <f t="shared" si="23"/>
        <v>0</v>
      </c>
      <c r="AF46" s="30" t="e">
        <f t="shared" si="24"/>
        <v>#DIV/0!</v>
      </c>
      <c r="AG46" s="30" t="e">
        <f t="shared" si="25"/>
        <v>#DIV/0!</v>
      </c>
      <c r="AH46" s="30" t="e">
        <f t="shared" si="27"/>
        <v>#DIV/0!</v>
      </c>
    </row>
    <row r="47" spans="1:34" ht="22.8" x14ac:dyDescent="0.25">
      <c r="A47" s="145"/>
      <c r="B47" s="138" t="e">
        <f>VLOOKUP(A47,'Sewer Project Data'!$A$3:$N$27,2,FALSE)</f>
        <v>#N/A</v>
      </c>
      <c r="C47" s="139" t="s">
        <v>106</v>
      </c>
      <c r="D47" s="186" t="s">
        <v>136</v>
      </c>
      <c r="E47" s="140" t="e">
        <f>VLOOKUP(A47,'Sewer Project Data'!$A$3:$N$27,3,FALSE)</f>
        <v>#N/A</v>
      </c>
      <c r="F47" s="146" t="e">
        <f>VLOOKUP(A47,'Sewer Project Data'!$A$3:$N$27,9,FALSE)</f>
        <v>#N/A</v>
      </c>
      <c r="G47" s="148">
        <v>1</v>
      </c>
      <c r="H47" s="185">
        <f t="shared" si="26"/>
        <v>0</v>
      </c>
      <c r="I47" s="109">
        <v>0</v>
      </c>
      <c r="J47" s="186">
        <v>0</v>
      </c>
      <c r="K47" s="140">
        <f t="shared" si="6"/>
        <v>0</v>
      </c>
      <c r="L47" s="186">
        <v>0</v>
      </c>
      <c r="M47" s="141" t="e">
        <f t="shared" si="7"/>
        <v>#DIV/0!</v>
      </c>
      <c r="N47" s="142" t="e">
        <f t="shared" si="8"/>
        <v>#DIV/0!</v>
      </c>
      <c r="O47" s="184" t="e">
        <f t="shared" si="9"/>
        <v>#DIV/0!</v>
      </c>
      <c r="P47" s="185" t="e">
        <f t="shared" si="10"/>
        <v>#DIV/0!</v>
      </c>
      <c r="Q47" s="149" t="e">
        <f t="shared" si="11"/>
        <v>#DIV/0!</v>
      </c>
      <c r="R47" s="143" t="e">
        <f>Q47*VLOOKUP(A47,'Sewer Project Data'!$A$3:$AM$27,39,FALSE)</f>
        <v>#DIV/0!</v>
      </c>
      <c r="S47" s="144" t="e">
        <f t="shared" si="12"/>
        <v>#DIV/0!</v>
      </c>
      <c r="T47" s="144" t="e">
        <f t="shared" si="13"/>
        <v>#DIV/0!</v>
      </c>
      <c r="U47" s="150">
        <f t="shared" si="14"/>
        <v>0</v>
      </c>
      <c r="V47" s="2"/>
      <c r="W47" s="29">
        <f t="shared" si="15"/>
        <v>0</v>
      </c>
      <c r="X47" s="29">
        <f t="shared" si="16"/>
        <v>0</v>
      </c>
      <c r="Y47" s="29">
        <f t="shared" si="17"/>
        <v>0</v>
      </c>
      <c r="Z47" s="29">
        <f t="shared" si="18"/>
        <v>0</v>
      </c>
      <c r="AA47" s="29">
        <f t="shared" si="19"/>
        <v>0</v>
      </c>
      <c r="AB47" s="29">
        <f t="shared" si="20"/>
        <v>0</v>
      </c>
      <c r="AC47" s="29">
        <f t="shared" si="21"/>
        <v>0</v>
      </c>
      <c r="AD47" s="29">
        <f t="shared" si="22"/>
        <v>0</v>
      </c>
      <c r="AE47" s="29">
        <f t="shared" si="23"/>
        <v>0</v>
      </c>
      <c r="AF47" s="30" t="e">
        <f t="shared" si="24"/>
        <v>#DIV/0!</v>
      </c>
      <c r="AG47" s="30" t="e">
        <f t="shared" si="25"/>
        <v>#DIV/0!</v>
      </c>
      <c r="AH47" s="30" t="e">
        <f t="shared" si="27"/>
        <v>#DIV/0!</v>
      </c>
    </row>
    <row r="48" spans="1:34" ht="22.8" x14ac:dyDescent="0.25">
      <c r="A48" s="145"/>
      <c r="B48" s="138" t="e">
        <f>VLOOKUP(A48,'Sewer Project Data'!$A$3:$N$27,2,FALSE)</f>
        <v>#N/A</v>
      </c>
      <c r="C48" s="139" t="s">
        <v>106</v>
      </c>
      <c r="D48" s="186" t="s">
        <v>136</v>
      </c>
      <c r="E48" s="140" t="e">
        <f>VLOOKUP(A48,'Sewer Project Data'!$A$3:$N$27,3,FALSE)</f>
        <v>#N/A</v>
      </c>
      <c r="F48" s="146" t="e">
        <f>VLOOKUP(A48,'Sewer Project Data'!$A$3:$N$27,9,FALSE)</f>
        <v>#N/A</v>
      </c>
      <c r="G48" s="148">
        <v>1</v>
      </c>
      <c r="H48" s="185">
        <f t="shared" si="26"/>
        <v>0</v>
      </c>
      <c r="I48" s="109">
        <v>0</v>
      </c>
      <c r="J48" s="186">
        <v>0</v>
      </c>
      <c r="K48" s="140">
        <f t="shared" si="6"/>
        <v>0</v>
      </c>
      <c r="L48" s="186">
        <v>0</v>
      </c>
      <c r="M48" s="141" t="e">
        <f t="shared" si="7"/>
        <v>#DIV/0!</v>
      </c>
      <c r="N48" s="142" t="e">
        <f t="shared" si="8"/>
        <v>#DIV/0!</v>
      </c>
      <c r="O48" s="184" t="e">
        <f t="shared" si="9"/>
        <v>#DIV/0!</v>
      </c>
      <c r="P48" s="185" t="e">
        <f t="shared" si="10"/>
        <v>#DIV/0!</v>
      </c>
      <c r="Q48" s="149" t="e">
        <f t="shared" si="11"/>
        <v>#DIV/0!</v>
      </c>
      <c r="R48" s="143" t="e">
        <f>Q48*VLOOKUP(A48,'Sewer Project Data'!$A$3:$AM$27,39,FALSE)</f>
        <v>#DIV/0!</v>
      </c>
      <c r="S48" s="144" t="e">
        <f t="shared" si="12"/>
        <v>#DIV/0!</v>
      </c>
      <c r="T48" s="144" t="e">
        <f t="shared" si="13"/>
        <v>#DIV/0!</v>
      </c>
      <c r="U48" s="150">
        <f t="shared" si="14"/>
        <v>0</v>
      </c>
      <c r="V48" s="2"/>
      <c r="W48" s="29">
        <f t="shared" si="15"/>
        <v>0</v>
      </c>
      <c r="X48" s="29">
        <f t="shared" si="16"/>
        <v>0</v>
      </c>
      <c r="Y48" s="29">
        <f t="shared" si="17"/>
        <v>0</v>
      </c>
      <c r="Z48" s="29">
        <f t="shared" si="18"/>
        <v>0</v>
      </c>
      <c r="AA48" s="29">
        <f t="shared" si="19"/>
        <v>0</v>
      </c>
      <c r="AB48" s="29">
        <f t="shared" si="20"/>
        <v>0</v>
      </c>
      <c r="AC48" s="29">
        <f t="shared" si="21"/>
        <v>0</v>
      </c>
      <c r="AD48" s="29">
        <f t="shared" si="22"/>
        <v>0</v>
      </c>
      <c r="AE48" s="29">
        <f t="shared" si="23"/>
        <v>0</v>
      </c>
      <c r="AF48" s="30" t="e">
        <f t="shared" si="24"/>
        <v>#DIV/0!</v>
      </c>
      <c r="AG48" s="30" t="e">
        <f t="shared" si="25"/>
        <v>#DIV/0!</v>
      </c>
      <c r="AH48" s="30" t="e">
        <f t="shared" si="27"/>
        <v>#DIV/0!</v>
      </c>
    </row>
    <row r="49" spans="1:34" ht="22.8" x14ac:dyDescent="0.25">
      <c r="A49" s="145"/>
      <c r="B49" s="138" t="e">
        <f>VLOOKUP(A49,'Sewer Project Data'!$A$3:$N$27,2,FALSE)</f>
        <v>#N/A</v>
      </c>
      <c r="C49" s="139" t="s">
        <v>106</v>
      </c>
      <c r="D49" s="186" t="s">
        <v>136</v>
      </c>
      <c r="E49" s="140" t="e">
        <f>VLOOKUP(A49,'Sewer Project Data'!$A$3:$N$27,3,FALSE)</f>
        <v>#N/A</v>
      </c>
      <c r="F49" s="146" t="e">
        <f>VLOOKUP(A49,'Sewer Project Data'!$A$3:$N$27,9,FALSE)</f>
        <v>#N/A</v>
      </c>
      <c r="G49" s="148">
        <v>1</v>
      </c>
      <c r="H49" s="185">
        <f t="shared" si="26"/>
        <v>0</v>
      </c>
      <c r="I49" s="109">
        <v>0</v>
      </c>
      <c r="J49" s="186">
        <v>0</v>
      </c>
      <c r="K49" s="140">
        <f t="shared" si="6"/>
        <v>0</v>
      </c>
      <c r="L49" s="186">
        <v>0</v>
      </c>
      <c r="M49" s="141" t="e">
        <f t="shared" si="7"/>
        <v>#DIV/0!</v>
      </c>
      <c r="N49" s="142" t="e">
        <f t="shared" si="8"/>
        <v>#DIV/0!</v>
      </c>
      <c r="O49" s="184" t="e">
        <f t="shared" si="9"/>
        <v>#DIV/0!</v>
      </c>
      <c r="P49" s="185" t="e">
        <f t="shared" si="10"/>
        <v>#DIV/0!</v>
      </c>
      <c r="Q49" s="149" t="e">
        <f t="shared" si="11"/>
        <v>#DIV/0!</v>
      </c>
      <c r="R49" s="143" t="e">
        <f>Q49*VLOOKUP(A49,'Sewer Project Data'!$A$3:$AM$27,39,FALSE)</f>
        <v>#DIV/0!</v>
      </c>
      <c r="S49" s="144" t="e">
        <f t="shared" si="12"/>
        <v>#DIV/0!</v>
      </c>
      <c r="T49" s="144" t="e">
        <f t="shared" si="13"/>
        <v>#DIV/0!</v>
      </c>
      <c r="U49" s="150">
        <f t="shared" si="14"/>
        <v>0</v>
      </c>
      <c r="V49" s="2"/>
      <c r="W49" s="29">
        <f t="shared" si="15"/>
        <v>0</v>
      </c>
      <c r="X49" s="29">
        <f t="shared" si="16"/>
        <v>0</v>
      </c>
      <c r="Y49" s="29">
        <f t="shared" si="17"/>
        <v>0</v>
      </c>
      <c r="Z49" s="29">
        <f t="shared" si="18"/>
        <v>0</v>
      </c>
      <c r="AA49" s="29">
        <f t="shared" si="19"/>
        <v>0</v>
      </c>
      <c r="AB49" s="29">
        <f t="shared" si="20"/>
        <v>0</v>
      </c>
      <c r="AC49" s="29">
        <f t="shared" si="21"/>
        <v>0</v>
      </c>
      <c r="AD49" s="29">
        <f t="shared" si="22"/>
        <v>0</v>
      </c>
      <c r="AE49" s="29">
        <f t="shared" si="23"/>
        <v>0</v>
      </c>
      <c r="AF49" s="30" t="e">
        <f t="shared" si="24"/>
        <v>#DIV/0!</v>
      </c>
      <c r="AG49" s="30" t="e">
        <f t="shared" si="25"/>
        <v>#DIV/0!</v>
      </c>
      <c r="AH49" s="30" t="e">
        <f t="shared" si="27"/>
        <v>#DIV/0!</v>
      </c>
    </row>
    <row r="50" spans="1:34" ht="22.8" x14ac:dyDescent="0.25">
      <c r="A50" s="145"/>
      <c r="B50" s="138" t="e">
        <f>VLOOKUP(A50,'Sewer Project Data'!$A$3:$N$27,2,FALSE)</f>
        <v>#N/A</v>
      </c>
      <c r="C50" s="139" t="s">
        <v>106</v>
      </c>
      <c r="D50" s="186" t="s">
        <v>136</v>
      </c>
      <c r="E50" s="140" t="e">
        <f>VLOOKUP(A50,'Sewer Project Data'!$A$3:$N$27,3,FALSE)</f>
        <v>#N/A</v>
      </c>
      <c r="F50" s="146" t="e">
        <f>VLOOKUP(A50,'Sewer Project Data'!$A$3:$N$27,9,FALSE)</f>
        <v>#N/A</v>
      </c>
      <c r="G50" s="148">
        <v>1</v>
      </c>
      <c r="H50" s="185">
        <f t="shared" si="26"/>
        <v>0</v>
      </c>
      <c r="I50" s="109">
        <v>0</v>
      </c>
      <c r="J50" s="186">
        <v>0</v>
      </c>
      <c r="K50" s="140">
        <f t="shared" si="6"/>
        <v>0</v>
      </c>
      <c r="L50" s="186">
        <v>0</v>
      </c>
      <c r="M50" s="141" t="e">
        <f t="shared" si="7"/>
        <v>#DIV/0!</v>
      </c>
      <c r="N50" s="142" t="e">
        <f t="shared" si="8"/>
        <v>#DIV/0!</v>
      </c>
      <c r="O50" s="184" t="e">
        <f t="shared" si="9"/>
        <v>#DIV/0!</v>
      </c>
      <c r="P50" s="185" t="e">
        <f t="shared" si="10"/>
        <v>#DIV/0!</v>
      </c>
      <c r="Q50" s="149" t="e">
        <f t="shared" si="11"/>
        <v>#DIV/0!</v>
      </c>
      <c r="R50" s="143" t="e">
        <f>Q50*VLOOKUP(A50,'Sewer Project Data'!$A$3:$AM$27,39,FALSE)</f>
        <v>#DIV/0!</v>
      </c>
      <c r="S50" s="144" t="e">
        <f t="shared" si="12"/>
        <v>#DIV/0!</v>
      </c>
      <c r="T50" s="144" t="e">
        <f t="shared" si="13"/>
        <v>#DIV/0!</v>
      </c>
      <c r="U50" s="150">
        <f t="shared" si="14"/>
        <v>0</v>
      </c>
      <c r="V50" s="2"/>
      <c r="W50" s="29">
        <f t="shared" si="15"/>
        <v>0</v>
      </c>
      <c r="X50" s="29">
        <f t="shared" si="16"/>
        <v>0</v>
      </c>
      <c r="Y50" s="29">
        <f t="shared" si="17"/>
        <v>0</v>
      </c>
      <c r="Z50" s="29">
        <f t="shared" si="18"/>
        <v>0</v>
      </c>
      <c r="AA50" s="29">
        <f t="shared" si="19"/>
        <v>0</v>
      </c>
      <c r="AB50" s="29">
        <f t="shared" si="20"/>
        <v>0</v>
      </c>
      <c r="AC50" s="29">
        <f t="shared" si="21"/>
        <v>0</v>
      </c>
      <c r="AD50" s="29">
        <f t="shared" si="22"/>
        <v>0</v>
      </c>
      <c r="AE50" s="29">
        <f t="shared" si="23"/>
        <v>0</v>
      </c>
      <c r="AF50" s="30" t="e">
        <f t="shared" si="24"/>
        <v>#DIV/0!</v>
      </c>
      <c r="AG50" s="30" t="e">
        <f t="shared" si="25"/>
        <v>#DIV/0!</v>
      </c>
      <c r="AH50" s="30" t="e">
        <f t="shared" si="27"/>
        <v>#DIV/0!</v>
      </c>
    </row>
    <row r="51" spans="1:34" ht="22.8" x14ac:dyDescent="0.25">
      <c r="A51" s="145"/>
      <c r="B51" s="138" t="e">
        <f>VLOOKUP(A51,'Sewer Project Data'!$A$3:$N$27,2,FALSE)</f>
        <v>#N/A</v>
      </c>
      <c r="C51" s="139" t="s">
        <v>106</v>
      </c>
      <c r="D51" s="186" t="s">
        <v>136</v>
      </c>
      <c r="E51" s="140" t="e">
        <f>VLOOKUP(A51,'Sewer Project Data'!$A$3:$N$27,3,FALSE)</f>
        <v>#N/A</v>
      </c>
      <c r="F51" s="146" t="e">
        <f>VLOOKUP(A51,'Sewer Project Data'!$A$3:$N$27,9,FALSE)</f>
        <v>#N/A</v>
      </c>
      <c r="G51" s="148">
        <v>1</v>
      </c>
      <c r="H51" s="185">
        <f t="shared" si="26"/>
        <v>0</v>
      </c>
      <c r="I51" s="109">
        <v>0</v>
      </c>
      <c r="J51" s="186">
        <v>0</v>
      </c>
      <c r="K51" s="140">
        <f t="shared" si="6"/>
        <v>0</v>
      </c>
      <c r="L51" s="186">
        <v>0</v>
      </c>
      <c r="M51" s="141" t="e">
        <f t="shared" si="7"/>
        <v>#DIV/0!</v>
      </c>
      <c r="N51" s="142" t="e">
        <f t="shared" si="8"/>
        <v>#DIV/0!</v>
      </c>
      <c r="O51" s="184" t="e">
        <f t="shared" si="9"/>
        <v>#DIV/0!</v>
      </c>
      <c r="P51" s="185" t="e">
        <f t="shared" si="10"/>
        <v>#DIV/0!</v>
      </c>
      <c r="Q51" s="149" t="e">
        <f t="shared" si="11"/>
        <v>#DIV/0!</v>
      </c>
      <c r="R51" s="143" t="e">
        <f>Q51*VLOOKUP(A51,'Sewer Project Data'!$A$3:$AM$27,39,FALSE)</f>
        <v>#DIV/0!</v>
      </c>
      <c r="S51" s="144" t="e">
        <f t="shared" si="12"/>
        <v>#DIV/0!</v>
      </c>
      <c r="T51" s="144" t="e">
        <f t="shared" si="13"/>
        <v>#DIV/0!</v>
      </c>
      <c r="U51" s="150">
        <f t="shared" si="14"/>
        <v>0</v>
      </c>
      <c r="V51" s="2"/>
      <c r="W51" s="29">
        <f t="shared" si="15"/>
        <v>0</v>
      </c>
      <c r="X51" s="29">
        <f t="shared" si="16"/>
        <v>0</v>
      </c>
      <c r="Y51" s="29">
        <f t="shared" si="17"/>
        <v>0</v>
      </c>
      <c r="Z51" s="29">
        <f t="shared" si="18"/>
        <v>0</v>
      </c>
      <c r="AA51" s="29">
        <f t="shared" si="19"/>
        <v>0</v>
      </c>
      <c r="AB51" s="29">
        <f t="shared" si="20"/>
        <v>0</v>
      </c>
      <c r="AC51" s="29">
        <f t="shared" si="21"/>
        <v>0</v>
      </c>
      <c r="AD51" s="29">
        <f t="shared" si="22"/>
        <v>0</v>
      </c>
      <c r="AE51" s="29">
        <f t="shared" si="23"/>
        <v>0</v>
      </c>
      <c r="AF51" s="30" t="e">
        <f t="shared" si="24"/>
        <v>#DIV/0!</v>
      </c>
      <c r="AG51" s="30" t="e">
        <f t="shared" si="25"/>
        <v>#DIV/0!</v>
      </c>
      <c r="AH51" s="30" t="e">
        <f t="shared" si="27"/>
        <v>#DIV/0!</v>
      </c>
    </row>
    <row r="52" spans="1:34" ht="22.8" x14ac:dyDescent="0.25">
      <c r="A52" s="145"/>
      <c r="B52" s="138" t="e">
        <f>VLOOKUP(A52,'Sewer Project Data'!$A$3:$N$27,2,FALSE)</f>
        <v>#N/A</v>
      </c>
      <c r="C52" s="139" t="s">
        <v>106</v>
      </c>
      <c r="D52" s="186" t="s">
        <v>136</v>
      </c>
      <c r="E52" s="140" t="e">
        <f>VLOOKUP(A52,'Sewer Project Data'!$A$3:$N$27,3,FALSE)</f>
        <v>#N/A</v>
      </c>
      <c r="F52" s="146" t="e">
        <f>VLOOKUP(A52,'Sewer Project Data'!$A$3:$N$27,9,FALSE)</f>
        <v>#N/A</v>
      </c>
      <c r="G52" s="148">
        <v>1</v>
      </c>
      <c r="H52" s="185">
        <f t="shared" si="26"/>
        <v>0</v>
      </c>
      <c r="I52" s="109">
        <v>0</v>
      </c>
      <c r="J52" s="186">
        <v>0</v>
      </c>
      <c r="K52" s="140">
        <f t="shared" si="6"/>
        <v>0</v>
      </c>
      <c r="L52" s="186">
        <v>0</v>
      </c>
      <c r="M52" s="141" t="e">
        <f t="shared" si="7"/>
        <v>#DIV/0!</v>
      </c>
      <c r="N52" s="142" t="e">
        <f t="shared" si="8"/>
        <v>#DIV/0!</v>
      </c>
      <c r="O52" s="184" t="e">
        <f t="shared" si="9"/>
        <v>#DIV/0!</v>
      </c>
      <c r="P52" s="185" t="e">
        <f t="shared" si="10"/>
        <v>#DIV/0!</v>
      </c>
      <c r="Q52" s="149" t="e">
        <f t="shared" si="11"/>
        <v>#DIV/0!</v>
      </c>
      <c r="R52" s="143" t="e">
        <f>Q52*VLOOKUP(A52,'Sewer Project Data'!$A$3:$AM$27,39,FALSE)</f>
        <v>#DIV/0!</v>
      </c>
      <c r="S52" s="144" t="e">
        <f t="shared" si="12"/>
        <v>#DIV/0!</v>
      </c>
      <c r="T52" s="144" t="e">
        <f t="shared" si="13"/>
        <v>#DIV/0!</v>
      </c>
      <c r="U52" s="150">
        <f t="shared" si="14"/>
        <v>0</v>
      </c>
      <c r="V52" s="2"/>
      <c r="W52" s="29">
        <f t="shared" si="15"/>
        <v>0</v>
      </c>
      <c r="X52" s="29">
        <f t="shared" si="16"/>
        <v>0</v>
      </c>
      <c r="Y52" s="29">
        <f t="shared" si="17"/>
        <v>0</v>
      </c>
      <c r="Z52" s="29">
        <f t="shared" si="18"/>
        <v>0</v>
      </c>
      <c r="AA52" s="29">
        <f t="shared" si="19"/>
        <v>0</v>
      </c>
      <c r="AB52" s="29">
        <f t="shared" si="20"/>
        <v>0</v>
      </c>
      <c r="AC52" s="29">
        <f t="shared" si="21"/>
        <v>0</v>
      </c>
      <c r="AD52" s="29">
        <f t="shared" si="22"/>
        <v>0</v>
      </c>
      <c r="AE52" s="29">
        <f t="shared" si="23"/>
        <v>0</v>
      </c>
      <c r="AF52" s="30" t="e">
        <f t="shared" si="24"/>
        <v>#DIV/0!</v>
      </c>
      <c r="AG52" s="30" t="e">
        <f t="shared" si="25"/>
        <v>#DIV/0!</v>
      </c>
      <c r="AH52" s="30" t="e">
        <f t="shared" si="27"/>
        <v>#DIV/0!</v>
      </c>
    </row>
    <row r="53" spans="1:34" ht="22.8" x14ac:dyDescent="0.25">
      <c r="A53" s="145"/>
      <c r="B53" s="138" t="e">
        <f>VLOOKUP(A53,'Sewer Project Data'!$A$3:$N$27,2,FALSE)</f>
        <v>#N/A</v>
      </c>
      <c r="C53" s="139" t="s">
        <v>106</v>
      </c>
      <c r="D53" s="186" t="s">
        <v>136</v>
      </c>
      <c r="E53" s="140" t="e">
        <f>VLOOKUP(A53,'Sewer Project Data'!$A$3:$N$27,3,FALSE)</f>
        <v>#N/A</v>
      </c>
      <c r="F53" s="146" t="e">
        <f>VLOOKUP(A53,'Sewer Project Data'!$A$3:$N$27,9,FALSE)</f>
        <v>#N/A</v>
      </c>
      <c r="G53" s="148">
        <v>1</v>
      </c>
      <c r="H53" s="185">
        <f t="shared" si="26"/>
        <v>0</v>
      </c>
      <c r="I53" s="109">
        <v>0</v>
      </c>
      <c r="J53" s="186">
        <v>0</v>
      </c>
      <c r="K53" s="140">
        <f t="shared" si="6"/>
        <v>0</v>
      </c>
      <c r="L53" s="186">
        <v>0</v>
      </c>
      <c r="M53" s="141" t="e">
        <f t="shared" si="7"/>
        <v>#DIV/0!</v>
      </c>
      <c r="N53" s="142" t="e">
        <f t="shared" si="8"/>
        <v>#DIV/0!</v>
      </c>
      <c r="O53" s="184" t="e">
        <f t="shared" si="9"/>
        <v>#DIV/0!</v>
      </c>
      <c r="P53" s="185" t="e">
        <f t="shared" si="10"/>
        <v>#DIV/0!</v>
      </c>
      <c r="Q53" s="149" t="e">
        <f t="shared" si="11"/>
        <v>#DIV/0!</v>
      </c>
      <c r="R53" s="143" t="e">
        <f>Q53*VLOOKUP(A53,'Sewer Project Data'!$A$3:$AM$27,39,FALSE)</f>
        <v>#DIV/0!</v>
      </c>
      <c r="S53" s="144" t="e">
        <f t="shared" si="12"/>
        <v>#DIV/0!</v>
      </c>
      <c r="T53" s="144" t="e">
        <f t="shared" si="13"/>
        <v>#DIV/0!</v>
      </c>
      <c r="U53" s="150">
        <f t="shared" si="14"/>
        <v>0</v>
      </c>
      <c r="V53" s="2"/>
      <c r="W53" s="29">
        <f t="shared" si="15"/>
        <v>0</v>
      </c>
      <c r="X53" s="29">
        <f t="shared" si="16"/>
        <v>0</v>
      </c>
      <c r="Y53" s="29">
        <f t="shared" si="17"/>
        <v>0</v>
      </c>
      <c r="Z53" s="29">
        <f t="shared" si="18"/>
        <v>0</v>
      </c>
      <c r="AA53" s="29">
        <f t="shared" si="19"/>
        <v>0</v>
      </c>
      <c r="AB53" s="29">
        <f t="shared" si="20"/>
        <v>0</v>
      </c>
      <c r="AC53" s="29">
        <f t="shared" si="21"/>
        <v>0</v>
      </c>
      <c r="AD53" s="29">
        <f t="shared" si="22"/>
        <v>0</v>
      </c>
      <c r="AE53" s="29">
        <f t="shared" si="23"/>
        <v>0</v>
      </c>
      <c r="AF53" s="30" t="e">
        <f t="shared" si="24"/>
        <v>#DIV/0!</v>
      </c>
      <c r="AG53" s="30" t="e">
        <f t="shared" si="25"/>
        <v>#DIV/0!</v>
      </c>
      <c r="AH53" s="30" t="e">
        <f t="shared" si="27"/>
        <v>#DIV/0!</v>
      </c>
    </row>
    <row r="54" spans="1:34" ht="22.8" x14ac:dyDescent="0.25">
      <c r="A54" s="145"/>
      <c r="B54" s="138" t="e">
        <f>VLOOKUP(A54,'Sewer Project Data'!$A$3:$N$27,2,FALSE)</f>
        <v>#N/A</v>
      </c>
      <c r="C54" s="139" t="s">
        <v>106</v>
      </c>
      <c r="D54" s="186" t="s">
        <v>136</v>
      </c>
      <c r="E54" s="140" t="e">
        <f>VLOOKUP(A54,'Sewer Project Data'!$A$3:$N$27,3,FALSE)</f>
        <v>#N/A</v>
      </c>
      <c r="F54" s="146" t="e">
        <f>VLOOKUP(A54,'Sewer Project Data'!$A$3:$N$27,9,FALSE)</f>
        <v>#N/A</v>
      </c>
      <c r="G54" s="148">
        <v>1</v>
      </c>
      <c r="H54" s="185">
        <f t="shared" si="26"/>
        <v>0</v>
      </c>
      <c r="I54" s="109">
        <v>0</v>
      </c>
      <c r="J54" s="186">
        <v>0</v>
      </c>
      <c r="K54" s="140">
        <f t="shared" si="6"/>
        <v>0</v>
      </c>
      <c r="L54" s="186">
        <v>0</v>
      </c>
      <c r="M54" s="141" t="e">
        <f t="shared" si="7"/>
        <v>#DIV/0!</v>
      </c>
      <c r="N54" s="142" t="e">
        <f t="shared" si="8"/>
        <v>#DIV/0!</v>
      </c>
      <c r="O54" s="184" t="e">
        <f t="shared" si="9"/>
        <v>#DIV/0!</v>
      </c>
      <c r="P54" s="185" t="e">
        <f t="shared" si="10"/>
        <v>#DIV/0!</v>
      </c>
      <c r="Q54" s="149" t="e">
        <f t="shared" si="11"/>
        <v>#DIV/0!</v>
      </c>
      <c r="R54" s="143" t="e">
        <f>Q54*VLOOKUP(A54,'Sewer Project Data'!$A$3:$AM$27,39,FALSE)</f>
        <v>#DIV/0!</v>
      </c>
      <c r="S54" s="144" t="e">
        <f t="shared" si="12"/>
        <v>#DIV/0!</v>
      </c>
      <c r="T54" s="144" t="e">
        <f t="shared" si="13"/>
        <v>#DIV/0!</v>
      </c>
      <c r="U54" s="150">
        <f t="shared" si="14"/>
        <v>0</v>
      </c>
      <c r="V54" s="2"/>
      <c r="W54" s="29">
        <f t="shared" si="15"/>
        <v>0</v>
      </c>
      <c r="X54" s="29">
        <f t="shared" si="16"/>
        <v>0</v>
      </c>
      <c r="Y54" s="29">
        <f t="shared" si="17"/>
        <v>0</v>
      </c>
      <c r="Z54" s="29">
        <f t="shared" si="18"/>
        <v>0</v>
      </c>
      <c r="AA54" s="29">
        <f t="shared" si="19"/>
        <v>0</v>
      </c>
      <c r="AB54" s="29">
        <f t="shared" si="20"/>
        <v>0</v>
      </c>
      <c r="AC54" s="29">
        <f t="shared" si="21"/>
        <v>0</v>
      </c>
      <c r="AD54" s="29">
        <f t="shared" si="22"/>
        <v>0</v>
      </c>
      <c r="AE54" s="29">
        <f t="shared" si="23"/>
        <v>0</v>
      </c>
      <c r="AF54" s="30" t="e">
        <f t="shared" si="24"/>
        <v>#DIV/0!</v>
      </c>
      <c r="AG54" s="30" t="e">
        <f t="shared" si="25"/>
        <v>#DIV/0!</v>
      </c>
      <c r="AH54" s="30" t="e">
        <f t="shared" si="27"/>
        <v>#DIV/0!</v>
      </c>
    </row>
    <row r="55" spans="1:34" ht="22.8" x14ac:dyDescent="0.25">
      <c r="A55" s="145"/>
      <c r="B55" s="138" t="e">
        <f>VLOOKUP(A55,'Sewer Project Data'!$A$3:$N$27,2,FALSE)</f>
        <v>#N/A</v>
      </c>
      <c r="C55" s="139" t="s">
        <v>106</v>
      </c>
      <c r="D55" s="186" t="s">
        <v>136</v>
      </c>
      <c r="E55" s="140" t="e">
        <f>VLOOKUP(A55,'Sewer Project Data'!$A$3:$N$27,3,FALSE)</f>
        <v>#N/A</v>
      </c>
      <c r="F55" s="146" t="e">
        <f>VLOOKUP(A55,'Sewer Project Data'!$A$3:$N$27,9,FALSE)</f>
        <v>#N/A</v>
      </c>
      <c r="G55" s="148">
        <v>1</v>
      </c>
      <c r="H55" s="185">
        <f t="shared" si="26"/>
        <v>0</v>
      </c>
      <c r="I55" s="109">
        <v>0</v>
      </c>
      <c r="J55" s="186">
        <v>0</v>
      </c>
      <c r="K55" s="140">
        <f t="shared" si="6"/>
        <v>0</v>
      </c>
      <c r="L55" s="186">
        <v>0</v>
      </c>
      <c r="M55" s="141" t="e">
        <f t="shared" si="7"/>
        <v>#DIV/0!</v>
      </c>
      <c r="N55" s="142" t="e">
        <f t="shared" si="8"/>
        <v>#DIV/0!</v>
      </c>
      <c r="O55" s="184" t="e">
        <f t="shared" si="9"/>
        <v>#DIV/0!</v>
      </c>
      <c r="P55" s="185" t="e">
        <f t="shared" si="10"/>
        <v>#DIV/0!</v>
      </c>
      <c r="Q55" s="149" t="e">
        <f t="shared" si="11"/>
        <v>#DIV/0!</v>
      </c>
      <c r="R55" s="143" t="e">
        <f>Q55*VLOOKUP(A55,'Sewer Project Data'!$A$3:$AM$27,39,FALSE)</f>
        <v>#DIV/0!</v>
      </c>
      <c r="S55" s="144" t="e">
        <f t="shared" si="12"/>
        <v>#DIV/0!</v>
      </c>
      <c r="T55" s="144" t="e">
        <f t="shared" si="13"/>
        <v>#DIV/0!</v>
      </c>
      <c r="U55" s="150">
        <f t="shared" si="14"/>
        <v>0</v>
      </c>
      <c r="V55" s="2"/>
      <c r="W55" s="29">
        <f t="shared" si="15"/>
        <v>0</v>
      </c>
      <c r="X55" s="29">
        <f t="shared" si="16"/>
        <v>0</v>
      </c>
      <c r="Y55" s="29">
        <f t="shared" si="17"/>
        <v>0</v>
      </c>
      <c r="Z55" s="29">
        <f t="shared" si="18"/>
        <v>0</v>
      </c>
      <c r="AA55" s="29">
        <f t="shared" si="19"/>
        <v>0</v>
      </c>
      <c r="AB55" s="29">
        <f t="shared" si="20"/>
        <v>0</v>
      </c>
      <c r="AC55" s="29">
        <f t="shared" si="21"/>
        <v>0</v>
      </c>
      <c r="AD55" s="29">
        <f t="shared" si="22"/>
        <v>0</v>
      </c>
      <c r="AE55" s="29">
        <f t="shared" si="23"/>
        <v>0</v>
      </c>
      <c r="AF55" s="30" t="e">
        <f t="shared" si="24"/>
        <v>#DIV/0!</v>
      </c>
      <c r="AG55" s="30" t="e">
        <f t="shared" si="25"/>
        <v>#DIV/0!</v>
      </c>
      <c r="AH55" s="30" t="e">
        <f t="shared" si="27"/>
        <v>#DIV/0!</v>
      </c>
    </row>
    <row r="56" spans="1:34" ht="22.8" x14ac:dyDescent="0.25">
      <c r="A56" s="145"/>
      <c r="B56" s="138" t="e">
        <f>VLOOKUP(A56,'Sewer Project Data'!$A$3:$N$27,2,FALSE)</f>
        <v>#N/A</v>
      </c>
      <c r="C56" s="139" t="s">
        <v>106</v>
      </c>
      <c r="D56" s="186" t="s">
        <v>136</v>
      </c>
      <c r="E56" s="140" t="e">
        <f>VLOOKUP(A56,'Sewer Project Data'!$A$3:$N$27,3,FALSE)</f>
        <v>#N/A</v>
      </c>
      <c r="F56" s="146" t="e">
        <f>VLOOKUP(A56,'Sewer Project Data'!$A$3:$N$27,9,FALSE)</f>
        <v>#N/A</v>
      </c>
      <c r="G56" s="148">
        <v>1</v>
      </c>
      <c r="H56" s="185">
        <f t="shared" si="26"/>
        <v>0</v>
      </c>
      <c r="I56" s="109">
        <v>0</v>
      </c>
      <c r="J56" s="186">
        <v>0</v>
      </c>
      <c r="K56" s="140">
        <f t="shared" si="6"/>
        <v>0</v>
      </c>
      <c r="L56" s="186">
        <v>0</v>
      </c>
      <c r="M56" s="141" t="e">
        <f t="shared" si="7"/>
        <v>#DIV/0!</v>
      </c>
      <c r="N56" s="142" t="e">
        <f t="shared" si="8"/>
        <v>#DIV/0!</v>
      </c>
      <c r="O56" s="184" t="e">
        <f t="shared" si="9"/>
        <v>#DIV/0!</v>
      </c>
      <c r="P56" s="185" t="e">
        <f t="shared" si="10"/>
        <v>#DIV/0!</v>
      </c>
      <c r="Q56" s="149" t="e">
        <f t="shared" si="11"/>
        <v>#DIV/0!</v>
      </c>
      <c r="R56" s="143" t="e">
        <f>Q56*VLOOKUP(A56,'Sewer Project Data'!$A$3:$AM$27,39,FALSE)</f>
        <v>#DIV/0!</v>
      </c>
      <c r="S56" s="144" t="e">
        <f t="shared" si="12"/>
        <v>#DIV/0!</v>
      </c>
      <c r="T56" s="144" t="e">
        <f t="shared" si="13"/>
        <v>#DIV/0!</v>
      </c>
      <c r="U56" s="150">
        <f t="shared" si="14"/>
        <v>0</v>
      </c>
      <c r="V56" s="2"/>
      <c r="W56" s="29">
        <f t="shared" si="15"/>
        <v>0</v>
      </c>
      <c r="X56" s="29">
        <f t="shared" si="16"/>
        <v>0</v>
      </c>
      <c r="Y56" s="29">
        <f t="shared" si="17"/>
        <v>0</v>
      </c>
      <c r="Z56" s="29">
        <f t="shared" si="18"/>
        <v>0</v>
      </c>
      <c r="AA56" s="29">
        <f t="shared" si="19"/>
        <v>0</v>
      </c>
      <c r="AB56" s="29">
        <f t="shared" si="20"/>
        <v>0</v>
      </c>
      <c r="AC56" s="29">
        <f t="shared" si="21"/>
        <v>0</v>
      </c>
      <c r="AD56" s="29">
        <f t="shared" si="22"/>
        <v>0</v>
      </c>
      <c r="AE56" s="29">
        <f t="shared" si="23"/>
        <v>0</v>
      </c>
      <c r="AF56" s="30" t="e">
        <f t="shared" si="24"/>
        <v>#DIV/0!</v>
      </c>
      <c r="AG56" s="30" t="e">
        <f t="shared" si="25"/>
        <v>#DIV/0!</v>
      </c>
      <c r="AH56" s="30" t="e">
        <f t="shared" si="27"/>
        <v>#DIV/0!</v>
      </c>
    </row>
    <row r="57" spans="1:34" ht="22.8" x14ac:dyDescent="0.25">
      <c r="A57" s="145"/>
      <c r="B57" s="138" t="e">
        <f>VLOOKUP(A57,'Sewer Project Data'!$A$3:$N$27,2,FALSE)</f>
        <v>#N/A</v>
      </c>
      <c r="C57" s="139" t="s">
        <v>106</v>
      </c>
      <c r="D57" s="186" t="s">
        <v>136</v>
      </c>
      <c r="E57" s="140" t="e">
        <f>VLOOKUP(A57,'Sewer Project Data'!$A$3:$N$27,3,FALSE)</f>
        <v>#N/A</v>
      </c>
      <c r="F57" s="146" t="e">
        <f>VLOOKUP(A57,'Sewer Project Data'!$A$3:$N$27,9,FALSE)</f>
        <v>#N/A</v>
      </c>
      <c r="G57" s="148">
        <v>1</v>
      </c>
      <c r="H57" s="185">
        <f t="shared" si="26"/>
        <v>0</v>
      </c>
      <c r="I57" s="109">
        <v>0</v>
      </c>
      <c r="J57" s="186">
        <v>0</v>
      </c>
      <c r="K57" s="140">
        <f t="shared" si="6"/>
        <v>0</v>
      </c>
      <c r="L57" s="186">
        <v>0</v>
      </c>
      <c r="M57" s="141" t="e">
        <f t="shared" si="7"/>
        <v>#DIV/0!</v>
      </c>
      <c r="N57" s="142" t="e">
        <f t="shared" si="8"/>
        <v>#DIV/0!</v>
      </c>
      <c r="O57" s="184" t="e">
        <f t="shared" si="9"/>
        <v>#DIV/0!</v>
      </c>
      <c r="P57" s="185" t="e">
        <f t="shared" si="10"/>
        <v>#DIV/0!</v>
      </c>
      <c r="Q57" s="149" t="e">
        <f t="shared" si="11"/>
        <v>#DIV/0!</v>
      </c>
      <c r="R57" s="143" t="e">
        <f>Q57*VLOOKUP(A57,'Sewer Project Data'!$A$3:$AM$27,39,FALSE)</f>
        <v>#DIV/0!</v>
      </c>
      <c r="S57" s="144" t="e">
        <f t="shared" si="12"/>
        <v>#DIV/0!</v>
      </c>
      <c r="T57" s="144" t="e">
        <f t="shared" si="13"/>
        <v>#DIV/0!</v>
      </c>
      <c r="U57" s="150">
        <f t="shared" si="14"/>
        <v>0</v>
      </c>
      <c r="V57" s="2"/>
      <c r="W57" s="29">
        <f t="shared" si="15"/>
        <v>0</v>
      </c>
      <c r="X57" s="29">
        <f t="shared" si="16"/>
        <v>0</v>
      </c>
      <c r="Y57" s="29">
        <f t="shared" si="17"/>
        <v>0</v>
      </c>
      <c r="Z57" s="29">
        <f t="shared" si="18"/>
        <v>0</v>
      </c>
      <c r="AA57" s="29">
        <f t="shared" si="19"/>
        <v>0</v>
      </c>
      <c r="AB57" s="29">
        <f t="shared" si="20"/>
        <v>0</v>
      </c>
      <c r="AC57" s="29">
        <f t="shared" si="21"/>
        <v>0</v>
      </c>
      <c r="AD57" s="29">
        <f t="shared" si="22"/>
        <v>0</v>
      </c>
      <c r="AE57" s="29">
        <f t="shared" si="23"/>
        <v>0</v>
      </c>
      <c r="AF57" s="30" t="e">
        <f t="shared" si="24"/>
        <v>#DIV/0!</v>
      </c>
      <c r="AG57" s="30" t="e">
        <f t="shared" si="25"/>
        <v>#DIV/0!</v>
      </c>
      <c r="AH57" s="30" t="e">
        <f t="shared" si="27"/>
        <v>#DIV/0!</v>
      </c>
    </row>
    <row r="58" spans="1:34" ht="22.8" x14ac:dyDescent="0.25">
      <c r="A58" s="145"/>
      <c r="B58" s="138" t="e">
        <f>VLOOKUP(A58,'Sewer Project Data'!$A$3:$N$27,2,FALSE)</f>
        <v>#N/A</v>
      </c>
      <c r="C58" s="139" t="s">
        <v>106</v>
      </c>
      <c r="D58" s="186" t="s">
        <v>136</v>
      </c>
      <c r="E58" s="140" t="e">
        <f>VLOOKUP(A58,'Sewer Project Data'!$A$3:$N$27,3,FALSE)</f>
        <v>#N/A</v>
      </c>
      <c r="F58" s="146" t="e">
        <f>VLOOKUP(A58,'Sewer Project Data'!$A$3:$N$27,9,FALSE)</f>
        <v>#N/A</v>
      </c>
      <c r="G58" s="148">
        <v>1</v>
      </c>
      <c r="H58" s="185">
        <f t="shared" si="26"/>
        <v>0</v>
      </c>
      <c r="I58" s="109">
        <v>0</v>
      </c>
      <c r="J58" s="186">
        <v>0</v>
      </c>
      <c r="K58" s="140">
        <f t="shared" si="6"/>
        <v>0</v>
      </c>
      <c r="L58" s="186">
        <v>0</v>
      </c>
      <c r="M58" s="141" t="e">
        <f t="shared" si="7"/>
        <v>#DIV/0!</v>
      </c>
      <c r="N58" s="142" t="e">
        <f t="shared" si="8"/>
        <v>#DIV/0!</v>
      </c>
      <c r="O58" s="184" t="e">
        <f t="shared" si="9"/>
        <v>#DIV/0!</v>
      </c>
      <c r="P58" s="185" t="e">
        <f t="shared" si="10"/>
        <v>#DIV/0!</v>
      </c>
      <c r="Q58" s="149" t="e">
        <f t="shared" si="11"/>
        <v>#DIV/0!</v>
      </c>
      <c r="R58" s="143" t="e">
        <f>Q58*VLOOKUP(A58,'Sewer Project Data'!$A$3:$AM$27,39,FALSE)</f>
        <v>#DIV/0!</v>
      </c>
      <c r="S58" s="144" t="e">
        <f t="shared" si="12"/>
        <v>#DIV/0!</v>
      </c>
      <c r="T58" s="144" t="e">
        <f t="shared" si="13"/>
        <v>#DIV/0!</v>
      </c>
      <c r="U58" s="150">
        <f t="shared" si="14"/>
        <v>0</v>
      </c>
      <c r="V58" s="2"/>
      <c r="W58" s="29">
        <f t="shared" si="15"/>
        <v>0</v>
      </c>
      <c r="X58" s="29">
        <f t="shared" si="16"/>
        <v>0</v>
      </c>
      <c r="Y58" s="29">
        <f t="shared" si="17"/>
        <v>0</v>
      </c>
      <c r="Z58" s="29">
        <f t="shared" si="18"/>
        <v>0</v>
      </c>
      <c r="AA58" s="29">
        <f t="shared" si="19"/>
        <v>0</v>
      </c>
      <c r="AB58" s="29">
        <f t="shared" si="20"/>
        <v>0</v>
      </c>
      <c r="AC58" s="29">
        <f t="shared" si="21"/>
        <v>0</v>
      </c>
      <c r="AD58" s="29">
        <f t="shared" si="22"/>
        <v>0</v>
      </c>
      <c r="AE58" s="29">
        <f t="shared" si="23"/>
        <v>0</v>
      </c>
      <c r="AF58" s="30" t="e">
        <f t="shared" si="24"/>
        <v>#DIV/0!</v>
      </c>
      <c r="AG58" s="30" t="e">
        <f t="shared" si="25"/>
        <v>#DIV/0!</v>
      </c>
      <c r="AH58" s="30" t="e">
        <f t="shared" si="27"/>
        <v>#DIV/0!</v>
      </c>
    </row>
    <row r="59" spans="1:34" ht="22.8" x14ac:dyDescent="0.25">
      <c r="A59" s="145"/>
      <c r="B59" s="138" t="e">
        <f>VLOOKUP(A59,'Sewer Project Data'!$A$3:$N$27,2,FALSE)</f>
        <v>#N/A</v>
      </c>
      <c r="C59" s="139" t="s">
        <v>106</v>
      </c>
      <c r="D59" s="186" t="s">
        <v>136</v>
      </c>
      <c r="E59" s="140" t="e">
        <f>VLOOKUP(A59,'Sewer Project Data'!$A$3:$N$27,3,FALSE)</f>
        <v>#N/A</v>
      </c>
      <c r="F59" s="146" t="e">
        <f>VLOOKUP(A59,'Sewer Project Data'!$A$3:$N$27,9,FALSE)</f>
        <v>#N/A</v>
      </c>
      <c r="G59" s="148">
        <v>1</v>
      </c>
      <c r="H59" s="185">
        <f t="shared" si="26"/>
        <v>0</v>
      </c>
      <c r="I59" s="109">
        <v>0</v>
      </c>
      <c r="J59" s="186">
        <v>0</v>
      </c>
      <c r="K59" s="140">
        <f t="shared" si="6"/>
        <v>0</v>
      </c>
      <c r="L59" s="186">
        <v>0</v>
      </c>
      <c r="M59" s="31" t="e">
        <f t="shared" si="7"/>
        <v>#DIV/0!</v>
      </c>
      <c r="N59" s="142" t="e">
        <f t="shared" si="8"/>
        <v>#DIV/0!</v>
      </c>
      <c r="O59" s="184" t="e">
        <f t="shared" si="9"/>
        <v>#DIV/0!</v>
      </c>
      <c r="P59" s="185" t="e">
        <f t="shared" si="10"/>
        <v>#DIV/0!</v>
      </c>
      <c r="Q59" s="149" t="e">
        <f t="shared" si="11"/>
        <v>#DIV/0!</v>
      </c>
      <c r="R59" s="143" t="e">
        <f>Q59*VLOOKUP(A59,'Sewer Project Data'!$A$3:$AM$27,39,FALSE)</f>
        <v>#DIV/0!</v>
      </c>
      <c r="S59" s="144" t="e">
        <f t="shared" si="12"/>
        <v>#DIV/0!</v>
      </c>
      <c r="T59" s="144" t="e">
        <f t="shared" si="13"/>
        <v>#DIV/0!</v>
      </c>
      <c r="U59" s="150">
        <f t="shared" si="14"/>
        <v>0</v>
      </c>
      <c r="V59" s="2"/>
      <c r="W59" s="29">
        <f t="shared" si="15"/>
        <v>0</v>
      </c>
      <c r="X59" s="29">
        <f t="shared" si="16"/>
        <v>0</v>
      </c>
      <c r="Y59" s="29">
        <f t="shared" si="17"/>
        <v>0</v>
      </c>
      <c r="Z59" s="29">
        <f t="shared" si="18"/>
        <v>0</v>
      </c>
      <c r="AA59" s="29">
        <f t="shared" si="19"/>
        <v>0</v>
      </c>
      <c r="AB59" s="29">
        <f t="shared" si="20"/>
        <v>0</v>
      </c>
      <c r="AC59" s="29">
        <f t="shared" si="21"/>
        <v>0</v>
      </c>
      <c r="AD59" s="29">
        <f t="shared" si="22"/>
        <v>0</v>
      </c>
      <c r="AE59" s="29">
        <f t="shared" si="23"/>
        <v>0</v>
      </c>
      <c r="AF59" s="30" t="e">
        <f t="shared" si="24"/>
        <v>#DIV/0!</v>
      </c>
      <c r="AG59" s="30" t="e">
        <f t="shared" si="25"/>
        <v>#DIV/0!</v>
      </c>
      <c r="AH59" s="30" t="e">
        <f t="shared" si="27"/>
        <v>#DIV/0!</v>
      </c>
    </row>
    <row r="60" spans="1:34" ht="22.8" x14ac:dyDescent="0.25">
      <c r="A60" s="145"/>
      <c r="B60" s="138" t="e">
        <f>VLOOKUP(A60,'Sewer Project Data'!$A$3:$N$27,2,FALSE)</f>
        <v>#N/A</v>
      </c>
      <c r="C60" s="139" t="s">
        <v>106</v>
      </c>
      <c r="D60" s="186" t="s">
        <v>136</v>
      </c>
      <c r="E60" s="140" t="e">
        <f>VLOOKUP(A60,'Sewer Project Data'!$A$3:$N$27,3,FALSE)</f>
        <v>#N/A</v>
      </c>
      <c r="F60" s="146" t="e">
        <f>VLOOKUP(A60,'Sewer Project Data'!$A$3:$N$27,9,FALSE)</f>
        <v>#N/A</v>
      </c>
      <c r="G60" s="148">
        <v>1</v>
      </c>
      <c r="H60" s="185">
        <f t="shared" si="26"/>
        <v>0</v>
      </c>
      <c r="I60" s="109">
        <v>0</v>
      </c>
      <c r="J60" s="186">
        <v>0</v>
      </c>
      <c r="K60" s="140">
        <f t="shared" si="6"/>
        <v>0</v>
      </c>
      <c r="L60" s="186">
        <v>0</v>
      </c>
      <c r="M60" s="31" t="e">
        <f t="shared" si="7"/>
        <v>#DIV/0!</v>
      </c>
      <c r="N60" s="142" t="e">
        <f t="shared" si="8"/>
        <v>#DIV/0!</v>
      </c>
      <c r="O60" s="184" t="e">
        <f t="shared" si="9"/>
        <v>#DIV/0!</v>
      </c>
      <c r="P60" s="185" t="e">
        <f t="shared" si="10"/>
        <v>#DIV/0!</v>
      </c>
      <c r="Q60" s="149" t="e">
        <f t="shared" si="11"/>
        <v>#DIV/0!</v>
      </c>
      <c r="R60" s="143" t="e">
        <f>Q60*VLOOKUP(A60,'Sewer Project Data'!$A$3:$AM$27,39,FALSE)</f>
        <v>#DIV/0!</v>
      </c>
      <c r="S60" s="144" t="e">
        <f t="shared" si="12"/>
        <v>#DIV/0!</v>
      </c>
      <c r="T60" s="144" t="e">
        <f t="shared" si="13"/>
        <v>#DIV/0!</v>
      </c>
      <c r="U60" s="150">
        <f t="shared" si="14"/>
        <v>0</v>
      </c>
      <c r="V60" s="2"/>
      <c r="W60" s="29">
        <f t="shared" si="15"/>
        <v>0</v>
      </c>
      <c r="X60" s="29">
        <f t="shared" si="16"/>
        <v>0</v>
      </c>
      <c r="Y60" s="29">
        <f t="shared" si="17"/>
        <v>0</v>
      </c>
      <c r="Z60" s="29">
        <f t="shared" si="18"/>
        <v>0</v>
      </c>
      <c r="AA60" s="29">
        <f t="shared" si="19"/>
        <v>0</v>
      </c>
      <c r="AB60" s="29">
        <f t="shared" si="20"/>
        <v>0</v>
      </c>
      <c r="AC60" s="29">
        <f t="shared" si="21"/>
        <v>0</v>
      </c>
      <c r="AD60" s="29">
        <f t="shared" si="22"/>
        <v>0</v>
      </c>
      <c r="AE60" s="29">
        <f t="shared" si="23"/>
        <v>0</v>
      </c>
      <c r="AF60" s="30" t="e">
        <f t="shared" si="24"/>
        <v>#DIV/0!</v>
      </c>
      <c r="AG60" s="30" t="e">
        <f t="shared" si="25"/>
        <v>#DIV/0!</v>
      </c>
      <c r="AH60" s="30" t="e">
        <f t="shared" si="27"/>
        <v>#DIV/0!</v>
      </c>
    </row>
    <row r="61" spans="1:34" ht="22.8" x14ac:dyDescent="0.25">
      <c r="A61" s="147"/>
      <c r="B61" s="138" t="e">
        <f>VLOOKUP(A61,'Sewer Project Data'!$A$3:$N$27,2,FALSE)</f>
        <v>#N/A</v>
      </c>
      <c r="C61" s="139" t="s">
        <v>106</v>
      </c>
      <c r="D61" s="186" t="s">
        <v>136</v>
      </c>
      <c r="E61" s="140" t="e">
        <f>VLOOKUP(A61,'Sewer Project Data'!$A$3:$N$27,3,FALSE)</f>
        <v>#N/A</v>
      </c>
      <c r="F61" s="146" t="e">
        <f>VLOOKUP(A61,'Sewer Project Data'!$A$3:$N$27,9,FALSE)</f>
        <v>#N/A</v>
      </c>
      <c r="G61" s="148">
        <v>1</v>
      </c>
      <c r="H61" s="185">
        <f>IF(G61&gt;1,((G61-1)*0.25),0)</f>
        <v>0</v>
      </c>
      <c r="I61" s="109">
        <v>0</v>
      </c>
      <c r="J61" s="186">
        <v>0</v>
      </c>
      <c r="K61" s="140">
        <f>I61+$P$9</f>
        <v>0</v>
      </c>
      <c r="L61" s="186">
        <v>0</v>
      </c>
      <c r="M61" s="31" t="e">
        <f>$P$9/(L61/2)</f>
        <v>#DIV/0!</v>
      </c>
      <c r="N61" s="142" t="e">
        <f t="shared" ref="N61:P65" si="28">AF61</f>
        <v>#DIV/0!</v>
      </c>
      <c r="O61" s="184" t="e">
        <f t="shared" si="28"/>
        <v>#DIV/0!</v>
      </c>
      <c r="P61" s="185" t="e">
        <f t="shared" si="28"/>
        <v>#DIV/0!</v>
      </c>
      <c r="Q61" s="149" t="e">
        <f>MAX(N61,H61)</f>
        <v>#DIV/0!</v>
      </c>
      <c r="R61" s="143" t="e">
        <f>Q61*VLOOKUP(A61,'Sewer Project Data'!$A$3:$AM$27,39,FALSE)</f>
        <v>#DIV/0!</v>
      </c>
      <c r="S61" s="144" t="e">
        <f t="shared" si="12"/>
        <v>#DIV/0!</v>
      </c>
      <c r="T61" s="144" t="e">
        <f>(((P61*N61)/(H61+N61)))*U61</f>
        <v>#DIV/0!</v>
      </c>
      <c r="U61" s="150">
        <f>IFERROR(R61*B61,0)</f>
        <v>0</v>
      </c>
      <c r="W61" s="29">
        <f>J61/2</f>
        <v>0</v>
      </c>
      <c r="X61" s="29">
        <f>IF(I61&gt;(J61)*0.65,W61,IF(I61&gt;(J61/2),(Z61/W61/2)*W61*100/15,IF((I61&lt;=(J61/2)),0)))</f>
        <v>0</v>
      </c>
      <c r="Y61" s="29">
        <f>W61-X61</f>
        <v>0</v>
      </c>
      <c r="Z61" s="29">
        <f>IF(I61&gt;(J61/2),I61-(J61/2),0)</f>
        <v>0</v>
      </c>
      <c r="AA61" s="29">
        <f t="shared" si="19"/>
        <v>0</v>
      </c>
      <c r="AB61" s="29">
        <f>IF((L61/2)&gt;(W61+Z61+AA61),(L61/2)-(W61+Z61+AA61),0)</f>
        <v>0</v>
      </c>
      <c r="AC61" s="29">
        <f>AB61+AA61+Z61+W61</f>
        <v>0</v>
      </c>
      <c r="AD61" s="29">
        <f>Y61+AA61</f>
        <v>0</v>
      </c>
      <c r="AE61" s="29">
        <f>Z61+AB61+X61</f>
        <v>0</v>
      </c>
      <c r="AF61" s="30" t="e">
        <f>AE61/(L61/2)</f>
        <v>#DIV/0!</v>
      </c>
      <c r="AG61" s="30" t="e">
        <f>(X61+Z61)/(X61+Z61+AB61)</f>
        <v>#DIV/0!</v>
      </c>
      <c r="AH61" s="30" t="e">
        <f>AB61/(X61+Z61+AB61)</f>
        <v>#DIV/0!</v>
      </c>
    </row>
    <row r="62" spans="1:34" ht="22.8" x14ac:dyDescent="0.25">
      <c r="A62" s="147"/>
      <c r="B62" s="138" t="e">
        <f>VLOOKUP(A62,'Sewer Project Data'!$A$3:$N$27,2,FALSE)</f>
        <v>#N/A</v>
      </c>
      <c r="C62" s="139" t="s">
        <v>106</v>
      </c>
      <c r="D62" s="186" t="s">
        <v>136</v>
      </c>
      <c r="E62" s="140" t="e">
        <f>VLOOKUP(A62,'Sewer Project Data'!$A$3:$N$27,3,FALSE)</f>
        <v>#N/A</v>
      </c>
      <c r="F62" s="146" t="e">
        <f>VLOOKUP(A62,'Sewer Project Data'!$A$3:$N$27,9,FALSE)</f>
        <v>#N/A</v>
      </c>
      <c r="G62" s="148">
        <v>1</v>
      </c>
      <c r="H62" s="185">
        <f>IF(G62&gt;1,((G62-1)*0.25),0)</f>
        <v>0</v>
      </c>
      <c r="I62" s="109">
        <v>0</v>
      </c>
      <c r="J62" s="186">
        <v>0</v>
      </c>
      <c r="K62" s="140">
        <f>I62+$P$9</f>
        <v>0</v>
      </c>
      <c r="L62" s="186">
        <v>0</v>
      </c>
      <c r="M62" s="31" t="e">
        <f>$P$9/(L62/2)</f>
        <v>#DIV/0!</v>
      </c>
      <c r="N62" s="142" t="e">
        <f t="shared" si="28"/>
        <v>#DIV/0!</v>
      </c>
      <c r="O62" s="184" t="e">
        <f t="shared" si="28"/>
        <v>#DIV/0!</v>
      </c>
      <c r="P62" s="185" t="e">
        <f t="shared" si="28"/>
        <v>#DIV/0!</v>
      </c>
      <c r="Q62" s="149" t="e">
        <f>MAX(N62,H62)</f>
        <v>#DIV/0!</v>
      </c>
      <c r="R62" s="143" t="e">
        <f>Q62*VLOOKUP(A62,'Sewer Project Data'!$A$3:$AM$27,39,FALSE)</f>
        <v>#DIV/0!</v>
      </c>
      <c r="S62" s="144" t="e">
        <f t="shared" si="12"/>
        <v>#DIV/0!</v>
      </c>
      <c r="T62" s="144" t="e">
        <f>(((P62*N62)/(H62+N62)))*U62</f>
        <v>#DIV/0!</v>
      </c>
      <c r="U62" s="150">
        <f>IFERROR(R62*B62,0)</f>
        <v>0</v>
      </c>
      <c r="W62" s="29">
        <f>J62/2</f>
        <v>0</v>
      </c>
      <c r="X62" s="29">
        <f>IF(I62&gt;(J62)*0.65,W62,IF(I62&gt;(J62/2),(Z62/W62/2)*W62*100/15,IF((I62&lt;=(J62/2)),0)))</f>
        <v>0</v>
      </c>
      <c r="Y62" s="29">
        <f>W62-X62</f>
        <v>0</v>
      </c>
      <c r="Z62" s="29">
        <f>IF(I62&gt;(J62/2),I62-(J62/2),0)</f>
        <v>0</v>
      </c>
      <c r="AA62" s="29">
        <f t="shared" si="19"/>
        <v>0</v>
      </c>
      <c r="AB62" s="29">
        <f>IF((L62/2)&gt;(W62+Z62+AA62),(L62/2)-(W62+Z62+AA62),0)</f>
        <v>0</v>
      </c>
      <c r="AC62" s="29">
        <f>AB62+AA62+Z62+W62</f>
        <v>0</v>
      </c>
      <c r="AD62" s="29">
        <f>Y62+AA62</f>
        <v>0</v>
      </c>
      <c r="AE62" s="29">
        <f>Z62+AB62+X62</f>
        <v>0</v>
      </c>
      <c r="AF62" s="30" t="e">
        <f>AE62/(L62/2)</f>
        <v>#DIV/0!</v>
      </c>
      <c r="AG62" s="30" t="e">
        <f>(X62+Z62)/(X62+Z62+AB62)</f>
        <v>#DIV/0!</v>
      </c>
      <c r="AH62" s="30" t="e">
        <f>AB62/(X62+Z62+AB62)</f>
        <v>#DIV/0!</v>
      </c>
    </row>
    <row r="63" spans="1:34" ht="22.8" x14ac:dyDescent="0.25">
      <c r="A63" s="147"/>
      <c r="B63" s="138" t="e">
        <f>VLOOKUP(A63,'Sewer Project Data'!$A$3:$N$27,2,FALSE)</f>
        <v>#N/A</v>
      </c>
      <c r="C63" s="139" t="s">
        <v>106</v>
      </c>
      <c r="D63" s="186" t="s">
        <v>136</v>
      </c>
      <c r="E63" s="140" t="e">
        <f>VLOOKUP(A63,'Sewer Project Data'!$A$3:$N$27,3,FALSE)</f>
        <v>#N/A</v>
      </c>
      <c r="F63" s="146" t="e">
        <f>VLOOKUP(A63,'Sewer Project Data'!$A$3:$N$27,9,FALSE)</f>
        <v>#N/A</v>
      </c>
      <c r="G63" s="148">
        <v>1</v>
      </c>
      <c r="H63" s="185">
        <f>IF(G63&gt;1,((G63-1)*0.25),0)</f>
        <v>0</v>
      </c>
      <c r="I63" s="109">
        <v>0</v>
      </c>
      <c r="J63" s="186">
        <v>0</v>
      </c>
      <c r="K63" s="140">
        <f>I63+$P$9</f>
        <v>0</v>
      </c>
      <c r="L63" s="186">
        <v>0</v>
      </c>
      <c r="M63" s="31" t="e">
        <f>$P$9/(L63/2)</f>
        <v>#DIV/0!</v>
      </c>
      <c r="N63" s="142" t="e">
        <f t="shared" si="28"/>
        <v>#DIV/0!</v>
      </c>
      <c r="O63" s="184" t="e">
        <f t="shared" si="28"/>
        <v>#DIV/0!</v>
      </c>
      <c r="P63" s="185" t="e">
        <f t="shared" si="28"/>
        <v>#DIV/0!</v>
      </c>
      <c r="Q63" s="149" t="e">
        <f>MAX(N63,H63)</f>
        <v>#DIV/0!</v>
      </c>
      <c r="R63" s="143" t="e">
        <f>Q63*VLOOKUP(A63,'Sewer Project Data'!$A$3:$AM$27,39,FALSE)</f>
        <v>#DIV/0!</v>
      </c>
      <c r="S63" s="144" t="e">
        <f t="shared" si="12"/>
        <v>#DIV/0!</v>
      </c>
      <c r="T63" s="144" t="e">
        <f>(((P63*N63)/(H63+N63)))*U63</f>
        <v>#DIV/0!</v>
      </c>
      <c r="U63" s="150">
        <f>IFERROR(R63*B63,0)</f>
        <v>0</v>
      </c>
      <c r="W63" s="29">
        <f>J63/2</f>
        <v>0</v>
      </c>
      <c r="X63" s="29">
        <f>IF(I63&gt;(J63)*0.65,W63,IF(I63&gt;(J63/2),(Z63/W63/2)*W63*100/15,IF((I63&lt;=(J63/2)),0)))</f>
        <v>0</v>
      </c>
      <c r="Y63" s="29">
        <f>W63-X63</f>
        <v>0</v>
      </c>
      <c r="Z63" s="29">
        <f>IF(I63&gt;(J63/2),I63-(J63/2),0)</f>
        <v>0</v>
      </c>
      <c r="AA63" s="29">
        <f t="shared" si="19"/>
        <v>0</v>
      </c>
      <c r="AB63" s="29">
        <f>IF((L63/2)&gt;(W63+Z63+AA63),(L63/2)-(W63+Z63+AA63),0)</f>
        <v>0</v>
      </c>
      <c r="AC63" s="29">
        <f>AB63+AA63+Z63+W63</f>
        <v>0</v>
      </c>
      <c r="AD63" s="29">
        <f>Y63+AA63</f>
        <v>0</v>
      </c>
      <c r="AE63" s="29">
        <f>Z63+AB63+X63</f>
        <v>0</v>
      </c>
      <c r="AF63" s="30" t="e">
        <f>AE63/(L63/2)</f>
        <v>#DIV/0!</v>
      </c>
      <c r="AG63" s="30" t="e">
        <f>(X63+Z63)/(X63+Z63+AB63)</f>
        <v>#DIV/0!</v>
      </c>
      <c r="AH63" s="30" t="e">
        <f>AB63/(X63+Z63+AB63)</f>
        <v>#DIV/0!</v>
      </c>
    </row>
    <row r="64" spans="1:34" ht="22.8" x14ac:dyDescent="0.25">
      <c r="A64" s="147"/>
      <c r="B64" s="138" t="e">
        <f>VLOOKUP(A64,'Sewer Project Data'!$A$3:$N$27,2,FALSE)</f>
        <v>#N/A</v>
      </c>
      <c r="C64" s="139" t="s">
        <v>106</v>
      </c>
      <c r="D64" s="186" t="s">
        <v>136</v>
      </c>
      <c r="E64" s="140" t="e">
        <f>VLOOKUP(A64,'Sewer Project Data'!$A$3:$N$27,3,FALSE)</f>
        <v>#N/A</v>
      </c>
      <c r="F64" s="146" t="e">
        <f>VLOOKUP(A64,'Sewer Project Data'!$A$3:$N$27,9,FALSE)</f>
        <v>#N/A</v>
      </c>
      <c r="G64" s="148">
        <v>1</v>
      </c>
      <c r="H64" s="185">
        <f>IF(G64&gt;1,((G64-1)*0.25),0)</f>
        <v>0</v>
      </c>
      <c r="I64" s="109">
        <v>0</v>
      </c>
      <c r="J64" s="186">
        <v>0</v>
      </c>
      <c r="K64" s="140">
        <f>I64+$P$9</f>
        <v>0</v>
      </c>
      <c r="L64" s="186">
        <v>0</v>
      </c>
      <c r="M64" s="31" t="e">
        <f>$P$9/(L64/2)</f>
        <v>#DIV/0!</v>
      </c>
      <c r="N64" s="142" t="e">
        <f t="shared" si="28"/>
        <v>#DIV/0!</v>
      </c>
      <c r="O64" s="184" t="e">
        <f t="shared" si="28"/>
        <v>#DIV/0!</v>
      </c>
      <c r="P64" s="185" t="e">
        <f t="shared" si="28"/>
        <v>#DIV/0!</v>
      </c>
      <c r="Q64" s="149" t="e">
        <f>MAX(N64,H64)</f>
        <v>#DIV/0!</v>
      </c>
      <c r="R64" s="143" t="e">
        <f>Q64*VLOOKUP(A64,'Sewer Project Data'!$A$3:$AM$27,39,FALSE)</f>
        <v>#DIV/0!</v>
      </c>
      <c r="S64" s="144" t="e">
        <f t="shared" si="12"/>
        <v>#DIV/0!</v>
      </c>
      <c r="T64" s="144" t="e">
        <f>(((P64*N64)/(H64+N64)))*U64</f>
        <v>#DIV/0!</v>
      </c>
      <c r="U64" s="150">
        <f>IFERROR(R64*B64,0)</f>
        <v>0</v>
      </c>
      <c r="W64" s="29">
        <f>J64/2</f>
        <v>0</v>
      </c>
      <c r="X64" s="29">
        <f>IF(I64&gt;(J64)*0.65,W64,IF(I64&gt;(J64/2),(Z64/W64/2)*W64*100/15,IF((I64&lt;=(J64/2)),0)))</f>
        <v>0</v>
      </c>
      <c r="Y64" s="29">
        <f>W64-X64</f>
        <v>0</v>
      </c>
      <c r="Z64" s="29">
        <f>IF(I64&gt;(J64/2),I64-(J64/2),0)</f>
        <v>0</v>
      </c>
      <c r="AA64" s="29">
        <f t="shared" si="19"/>
        <v>0</v>
      </c>
      <c r="AB64" s="29">
        <f>IF((L64/2)&gt;(W64+Z64+AA64),(L64/2)-(W64+Z64+AA64),0)</f>
        <v>0</v>
      </c>
      <c r="AC64" s="29">
        <f>AB64+AA64+Z64+W64</f>
        <v>0</v>
      </c>
      <c r="AD64" s="29">
        <f>Y64+AA64</f>
        <v>0</v>
      </c>
      <c r="AE64" s="29">
        <f>Z64+AB64+X64</f>
        <v>0</v>
      </c>
      <c r="AF64" s="30" t="e">
        <f>AE64/(L64/2)</f>
        <v>#DIV/0!</v>
      </c>
      <c r="AG64" s="30" t="e">
        <f>(X64+Z64)/(X64+Z64+AB64)</f>
        <v>#DIV/0!</v>
      </c>
      <c r="AH64" s="30" t="e">
        <f>AB64/(X64+Z64+AB64)</f>
        <v>#DIV/0!</v>
      </c>
    </row>
    <row r="65" spans="1:34" ht="22.8" x14ac:dyDescent="0.25">
      <c r="A65" s="147"/>
      <c r="B65" s="138" t="e">
        <f>VLOOKUP(A65,'Sewer Project Data'!$A$3:$N$27,2,FALSE)</f>
        <v>#N/A</v>
      </c>
      <c r="C65" s="139" t="s">
        <v>106</v>
      </c>
      <c r="D65" s="186" t="s">
        <v>136</v>
      </c>
      <c r="E65" s="140" t="e">
        <f>VLOOKUP(A65,'Sewer Project Data'!$A$3:$N$27,3,FALSE)</f>
        <v>#N/A</v>
      </c>
      <c r="F65" s="146" t="e">
        <f>VLOOKUP(A65,'Sewer Project Data'!$A$3:$N$27,9,FALSE)</f>
        <v>#N/A</v>
      </c>
      <c r="G65" s="148">
        <v>1</v>
      </c>
      <c r="H65" s="185">
        <f>IF(G65&gt;1,((G65-1)*0.25),0)</f>
        <v>0</v>
      </c>
      <c r="I65" s="109">
        <v>0</v>
      </c>
      <c r="J65" s="186">
        <v>0</v>
      </c>
      <c r="K65" s="140">
        <f>I65+$P$9</f>
        <v>0</v>
      </c>
      <c r="L65" s="186">
        <v>0</v>
      </c>
      <c r="M65" s="31" t="e">
        <f>$P$9/(L65/2)</f>
        <v>#DIV/0!</v>
      </c>
      <c r="N65" s="142" t="e">
        <f t="shared" si="28"/>
        <v>#DIV/0!</v>
      </c>
      <c r="O65" s="184" t="e">
        <f t="shared" si="28"/>
        <v>#DIV/0!</v>
      </c>
      <c r="P65" s="185" t="e">
        <f t="shared" si="28"/>
        <v>#DIV/0!</v>
      </c>
      <c r="Q65" s="149" t="e">
        <f>MAX(N65,H65)</f>
        <v>#DIV/0!</v>
      </c>
      <c r="R65" s="143" t="e">
        <f>Q65*VLOOKUP(A65,'Sewer Project Data'!$A$3:$AM$27,39,FALSE)</f>
        <v>#DIV/0!</v>
      </c>
      <c r="S65" s="144" t="e">
        <f t="shared" si="12"/>
        <v>#DIV/0!</v>
      </c>
      <c r="T65" s="144" t="e">
        <f>(((P65*N65)/(H65+N65)))*U65</f>
        <v>#DIV/0!</v>
      </c>
      <c r="U65" s="150">
        <f>IFERROR(R65*B65,0)</f>
        <v>0</v>
      </c>
      <c r="W65" s="29">
        <f>J65/2</f>
        <v>0</v>
      </c>
      <c r="X65" s="29">
        <f>IF(I65&gt;(J65)*0.65,W65,IF(I65&gt;(J65/2),(Z65/W65/2)*W65*100/15,IF((I65&lt;=(J65/2)),0)))</f>
        <v>0</v>
      </c>
      <c r="Y65" s="29">
        <f>W65-X65</f>
        <v>0</v>
      </c>
      <c r="Z65" s="29">
        <f>IF(I65&gt;(J65/2),I65-(J65/2),0)</f>
        <v>0</v>
      </c>
      <c r="AA65" s="29">
        <f t="shared" si="19"/>
        <v>0</v>
      </c>
      <c r="AB65" s="29">
        <f>IF((L65/2)&gt;(W65+Z65+AA65),(L65/2)-(W65+Z65+AA65),0)</f>
        <v>0</v>
      </c>
      <c r="AC65" s="29">
        <f>AB65+AA65+Z65+W65</f>
        <v>0</v>
      </c>
      <c r="AD65" s="29">
        <f>Y65+AA65</f>
        <v>0</v>
      </c>
      <c r="AE65" s="29">
        <f>Z65+AB65+X65</f>
        <v>0</v>
      </c>
      <c r="AF65" s="30" t="e">
        <f>AE65/(L65/2)</f>
        <v>#DIV/0!</v>
      </c>
      <c r="AG65" s="30" t="e">
        <f>(X65+Z65)/(X65+Z65+AB65)</f>
        <v>#DIV/0!</v>
      </c>
      <c r="AH65" s="30" t="e">
        <f>AB65/(X65+Z65+AB65)</f>
        <v>#DIV/0!</v>
      </c>
    </row>
    <row r="68" spans="1:34" x14ac:dyDescent="0.25">
      <c r="A68" t="s">
        <v>137</v>
      </c>
    </row>
  </sheetData>
  <sheetProtection algorithmName="SHA-512" hashValue="ZNxn5whzUeROkL90O/OEVJ13MzQRo6AwLOGcFEDO28xN1tdxU58S64Q0NdHeAM3T563ul5cql8r3K/TDCtCHmg==" saltValue="AELX2iq5T+5zc1XGiz742A==" spinCount="100000" sheet="1" formatCells="0" formatColumns="0" formatRows="0"/>
  <mergeCells count="58">
    <mergeCell ref="O30:P30"/>
    <mergeCell ref="O31:P31"/>
    <mergeCell ref="O32:P32"/>
    <mergeCell ref="O33:P33"/>
    <mergeCell ref="O34:P34"/>
    <mergeCell ref="L33:N33"/>
    <mergeCell ref="L34:N34"/>
    <mergeCell ref="O16:P16"/>
    <mergeCell ref="O17:P17"/>
    <mergeCell ref="O18:P18"/>
    <mergeCell ref="O19:P19"/>
    <mergeCell ref="O20:P20"/>
    <mergeCell ref="O21:P21"/>
    <mergeCell ref="O22:P22"/>
    <mergeCell ref="O23:P23"/>
    <mergeCell ref="O24:P24"/>
    <mergeCell ref="O25:P25"/>
    <mergeCell ref="O26:P26"/>
    <mergeCell ref="O27:P27"/>
    <mergeCell ref="O28:P28"/>
    <mergeCell ref="O29:P29"/>
    <mergeCell ref="L28:N28"/>
    <mergeCell ref="L29:N29"/>
    <mergeCell ref="L30:N30"/>
    <mergeCell ref="L31:N31"/>
    <mergeCell ref="L32:N32"/>
    <mergeCell ref="L23:N23"/>
    <mergeCell ref="L24:N24"/>
    <mergeCell ref="L25:N25"/>
    <mergeCell ref="L26:N26"/>
    <mergeCell ref="L27:N27"/>
    <mergeCell ref="L18:N18"/>
    <mergeCell ref="L19:N19"/>
    <mergeCell ref="L20:N20"/>
    <mergeCell ref="L21:N21"/>
    <mergeCell ref="L22:N22"/>
    <mergeCell ref="W37:AH39"/>
    <mergeCell ref="A11:U12"/>
    <mergeCell ref="Q39:U39"/>
    <mergeCell ref="I39:P39"/>
    <mergeCell ref="L14:N14"/>
    <mergeCell ref="L15:N15"/>
    <mergeCell ref="A37:U38"/>
    <mergeCell ref="A13:F13"/>
    <mergeCell ref="G13:I13"/>
    <mergeCell ref="J13:P13"/>
    <mergeCell ref="Q13:U13"/>
    <mergeCell ref="O14:P14"/>
    <mergeCell ref="O15:P15"/>
    <mergeCell ref="A39:F39"/>
    <mergeCell ref="G39:H39"/>
    <mergeCell ref="L16:N16"/>
    <mergeCell ref="L17:N17"/>
    <mergeCell ref="A1:T1"/>
    <mergeCell ref="A2:T2"/>
    <mergeCell ref="A3:T3"/>
    <mergeCell ref="A4:T4"/>
    <mergeCell ref="A8:F8"/>
  </mergeCells>
  <dataValidations count="1">
    <dataValidation type="whole" allowBlank="1" showInputMessage="1" showErrorMessage="1" sqref="G15:G34" xr:uid="{00000000-0002-0000-0000-000000000000}">
      <formula1>1887</formula1>
      <formula2>2014</formula2>
    </dataValidation>
  </dataValidations>
  <pageMargins left="0.7" right="0.7" top="0.75" bottom="0.75" header="0.3" footer="0.3"/>
  <pageSetup paperSize="5" scale="6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Data!$A$22:$A$23</xm:f>
          </x14:formula1>
          <xm:sqref>L15:N34</xm:sqref>
        </x14:dataValidation>
        <x14:dataValidation type="list" allowBlank="1" showInputMessage="1" showErrorMessage="1" xr:uid="{00000000-0002-0000-0000-000002000000}">
          <x14:formula1>
            <xm:f>Data!$B$4:$B$10</xm:f>
          </x14:formula1>
          <xm:sqref>D15:D34</xm:sqref>
        </x14:dataValidation>
        <x14:dataValidation type="list" allowBlank="1" showInputMessage="1" showErrorMessage="1" xr:uid="{00000000-0002-0000-0000-000003000000}">
          <x14:formula1>
            <xm:f>Data!$B$11:$B$15</xm:f>
          </x14:formula1>
          <xm:sqref>D41:D65</xm:sqref>
        </x14:dataValidation>
        <x14:dataValidation type="list" allowBlank="1" showInputMessage="1" showErrorMessage="1" xr:uid="{00000000-0002-0000-0000-000004000000}">
          <x14:formula1>
            <xm:f>Data!$B$16:$B$20</xm:f>
          </x14:formula1>
          <xm:sqref>G41:G65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C59"/>
  <sheetViews>
    <sheetView workbookViewId="0">
      <selection activeCell="A38" sqref="A38"/>
    </sheetView>
  </sheetViews>
  <sheetFormatPr defaultRowHeight="13.2" x14ac:dyDescent="0.25"/>
  <cols>
    <col min="1" max="1" width="14.6640625" customWidth="1"/>
    <col min="2" max="2" width="5.6640625" customWidth="1"/>
    <col min="3" max="3" width="8.109375" customWidth="1"/>
  </cols>
  <sheetData>
    <row r="4" spans="1:3" ht="27" customHeight="1" x14ac:dyDescent="0.25">
      <c r="A4" s="309" t="s">
        <v>138</v>
      </c>
      <c r="B4" s="1" t="s">
        <v>139</v>
      </c>
      <c r="C4">
        <v>60</v>
      </c>
    </row>
    <row r="5" spans="1:3" x14ac:dyDescent="0.25">
      <c r="A5" s="309"/>
      <c r="B5" s="1" t="s">
        <v>107</v>
      </c>
      <c r="C5">
        <v>100</v>
      </c>
    </row>
    <row r="6" spans="1:3" x14ac:dyDescent="0.25">
      <c r="A6" s="309"/>
      <c r="B6" s="1" t="s">
        <v>140</v>
      </c>
      <c r="C6">
        <v>105</v>
      </c>
    </row>
    <row r="7" spans="1:3" x14ac:dyDescent="0.25">
      <c r="A7" s="309"/>
      <c r="B7" s="1" t="s">
        <v>136</v>
      </c>
      <c r="C7">
        <v>110</v>
      </c>
    </row>
    <row r="8" spans="1:3" x14ac:dyDescent="0.25">
      <c r="A8" s="309"/>
      <c r="B8" s="1" t="s">
        <v>141</v>
      </c>
      <c r="C8">
        <v>51</v>
      </c>
    </row>
    <row r="9" spans="1:3" x14ac:dyDescent="0.25">
      <c r="A9" s="309"/>
      <c r="B9" s="1" t="s">
        <v>142</v>
      </c>
      <c r="C9">
        <v>60</v>
      </c>
    </row>
    <row r="10" spans="1:3" x14ac:dyDescent="0.25">
      <c r="A10" s="309"/>
      <c r="B10" s="1" t="s">
        <v>143</v>
      </c>
      <c r="C10">
        <v>96</v>
      </c>
    </row>
    <row r="11" spans="1:3" x14ac:dyDescent="0.25">
      <c r="A11" s="309" t="s">
        <v>144</v>
      </c>
      <c r="B11" s="1" t="s">
        <v>143</v>
      </c>
    </row>
    <row r="12" spans="1:3" x14ac:dyDescent="0.25">
      <c r="A12" s="309"/>
      <c r="B12" s="1" t="s">
        <v>107</v>
      </c>
    </row>
    <row r="13" spans="1:3" x14ac:dyDescent="0.25">
      <c r="A13" s="309"/>
      <c r="B13" s="1" t="s">
        <v>136</v>
      </c>
    </row>
    <row r="14" spans="1:3" x14ac:dyDescent="0.25">
      <c r="A14" s="309"/>
      <c r="B14" s="1" t="s">
        <v>145</v>
      </c>
    </row>
    <row r="15" spans="1:3" x14ac:dyDescent="0.25">
      <c r="A15" s="309"/>
      <c r="B15" s="1" t="s">
        <v>146</v>
      </c>
    </row>
    <row r="16" spans="1:3" x14ac:dyDescent="0.25">
      <c r="A16" s="214" t="s">
        <v>147</v>
      </c>
      <c r="B16">
        <v>1</v>
      </c>
    </row>
    <row r="17" spans="1:2" x14ac:dyDescent="0.25">
      <c r="A17" s="214"/>
      <c r="B17">
        <v>2</v>
      </c>
    </row>
    <row r="18" spans="1:2" x14ac:dyDescent="0.25">
      <c r="A18" s="214"/>
      <c r="B18">
        <v>3</v>
      </c>
    </row>
    <row r="19" spans="1:2" x14ac:dyDescent="0.25">
      <c r="A19" s="214"/>
      <c r="B19">
        <v>4</v>
      </c>
    </row>
    <row r="20" spans="1:2" x14ac:dyDescent="0.25">
      <c r="A20" s="214"/>
      <c r="B20">
        <v>5</v>
      </c>
    </row>
    <row r="22" spans="1:2" x14ac:dyDescent="0.25">
      <c r="A22" t="s">
        <v>148</v>
      </c>
    </row>
    <row r="23" spans="1:2" x14ac:dyDescent="0.25">
      <c r="A23" t="s">
        <v>108</v>
      </c>
    </row>
    <row r="27" spans="1:2" x14ac:dyDescent="0.25">
      <c r="A27" t="s">
        <v>63</v>
      </c>
      <c r="B27">
        <v>2</v>
      </c>
    </row>
    <row r="28" spans="1:2" x14ac:dyDescent="0.25">
      <c r="A28" t="s">
        <v>70</v>
      </c>
      <c r="B28">
        <v>6</v>
      </c>
    </row>
    <row r="29" spans="1:2" x14ac:dyDescent="0.25">
      <c r="A29" t="s">
        <v>28</v>
      </c>
      <c r="B29">
        <v>8</v>
      </c>
    </row>
    <row r="30" spans="1:2" x14ac:dyDescent="0.25">
      <c r="A30" t="s">
        <v>47</v>
      </c>
      <c r="B30">
        <v>10</v>
      </c>
    </row>
    <row r="31" spans="1:2" x14ac:dyDescent="0.25">
      <c r="A31" t="s">
        <v>31</v>
      </c>
      <c r="B31">
        <v>12</v>
      </c>
    </row>
    <row r="32" spans="1:2" x14ac:dyDescent="0.25">
      <c r="A32" t="s">
        <v>34</v>
      </c>
      <c r="B32">
        <v>16</v>
      </c>
    </row>
    <row r="33" spans="1:2" x14ac:dyDescent="0.25">
      <c r="A33" s="1" t="s">
        <v>48</v>
      </c>
      <c r="B33">
        <v>18</v>
      </c>
    </row>
    <row r="34" spans="1:2" x14ac:dyDescent="0.25">
      <c r="A34" s="1" t="s">
        <v>49</v>
      </c>
      <c r="B34">
        <v>20</v>
      </c>
    </row>
    <row r="35" spans="1:2" x14ac:dyDescent="0.25">
      <c r="A35" t="s">
        <v>50</v>
      </c>
      <c r="B35">
        <v>24</v>
      </c>
    </row>
    <row r="37" spans="1:2" x14ac:dyDescent="0.25">
      <c r="A37" t="s">
        <v>30</v>
      </c>
      <c r="B37">
        <v>1</v>
      </c>
    </row>
    <row r="38" spans="1:2" x14ac:dyDescent="0.25">
      <c r="A38" t="s">
        <v>39</v>
      </c>
      <c r="B38">
        <v>1</v>
      </c>
    </row>
    <row r="39" spans="1:2" x14ac:dyDescent="0.25">
      <c r="A39" t="s">
        <v>57</v>
      </c>
    </row>
    <row r="40" spans="1:2" x14ac:dyDescent="0.25">
      <c r="A40" t="s">
        <v>58</v>
      </c>
    </row>
    <row r="41" spans="1:2" x14ac:dyDescent="0.25">
      <c r="A41" t="s">
        <v>59</v>
      </c>
    </row>
    <row r="43" spans="1:2" x14ac:dyDescent="0.25">
      <c r="A43" s="1" t="s">
        <v>32</v>
      </c>
    </row>
    <row r="44" spans="1:2" x14ac:dyDescent="0.25">
      <c r="A44" s="1" t="s">
        <v>33</v>
      </c>
    </row>
    <row r="57" spans="1:1" x14ac:dyDescent="0.25">
      <c r="A57" s="1" t="s">
        <v>149</v>
      </c>
    </row>
    <row r="58" spans="1:1" x14ac:dyDescent="0.25">
      <c r="A58" s="1" t="s">
        <v>32</v>
      </c>
    </row>
    <row r="59" spans="1:1" x14ac:dyDescent="0.25">
      <c r="A59" s="1" t="s">
        <v>33</v>
      </c>
    </row>
  </sheetData>
  <sheetProtection algorithmName="SHA-512" hashValue="CPtmgnTbJx9gX9PKULItsmfyPC72XqihSN/9JATlkNiZCO8mHVyztalzIn30P/jwMc3aYlZKxys9SoqWpt+VKA==" saltValue="judToJY17H7ZK3EzCq2upg==" spinCount="100000" sheet="1" objects="1" scenarios="1"/>
  <mergeCells count="3">
    <mergeCell ref="A4:A10"/>
    <mergeCell ref="A11:A15"/>
    <mergeCell ref="A16:A20"/>
  </mergeCells>
  <phoneticPr fontId="6" type="noConversion"/>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0"/>
  <sheetViews>
    <sheetView zoomScaleNormal="100" workbookViewId="0">
      <selection activeCell="A2" sqref="A2"/>
    </sheetView>
  </sheetViews>
  <sheetFormatPr defaultRowHeight="13.2" x14ac:dyDescent="0.25"/>
  <cols>
    <col min="1" max="1" width="10.33203125" customWidth="1"/>
    <col min="2" max="2" width="16.6640625" customWidth="1"/>
    <col min="3" max="3" width="15.6640625" customWidth="1"/>
    <col min="4" max="4" width="17.33203125" customWidth="1"/>
    <col min="5" max="5" width="17" customWidth="1"/>
    <col min="6" max="6" width="15.6640625" customWidth="1"/>
    <col min="7" max="7" width="14.6640625" customWidth="1"/>
    <col min="8" max="8" width="13.6640625" customWidth="1"/>
    <col min="9" max="9" width="12.33203125" customWidth="1"/>
    <col min="10" max="10" width="12.6640625" customWidth="1"/>
    <col min="11" max="11" width="16.44140625" customWidth="1"/>
    <col min="12" max="12" width="18.33203125" customWidth="1"/>
  </cols>
  <sheetData>
    <row r="1" spans="1:14" ht="13.8" thickBot="1" x14ac:dyDescent="0.3">
      <c r="I1" s="166"/>
      <c r="L1" s="2"/>
    </row>
    <row r="2" spans="1:14" ht="27" thickBot="1" x14ac:dyDescent="0.35">
      <c r="B2" s="162" t="s">
        <v>82</v>
      </c>
      <c r="C2" s="161">
        <f>'Reimbursement Calculator'!$P$9</f>
        <v>0</v>
      </c>
      <c r="D2" s="163" t="s">
        <v>83</v>
      </c>
      <c r="E2" s="39"/>
      <c r="F2" s="2"/>
      <c r="H2" s="2"/>
      <c r="J2" s="166"/>
    </row>
    <row r="4" spans="1:14" ht="21" customHeight="1" x14ac:dyDescent="0.25">
      <c r="A4" s="312" t="s">
        <v>89</v>
      </c>
      <c r="B4" s="310" t="s">
        <v>150</v>
      </c>
      <c r="C4" s="310" t="s">
        <v>151</v>
      </c>
      <c r="D4" s="310" t="s">
        <v>152</v>
      </c>
      <c r="E4" s="310" t="s">
        <v>153</v>
      </c>
      <c r="F4" s="310" t="s">
        <v>154</v>
      </c>
      <c r="G4" s="310" t="s">
        <v>155</v>
      </c>
      <c r="H4" s="310" t="s">
        <v>156</v>
      </c>
      <c r="I4" s="310" t="s">
        <v>157</v>
      </c>
      <c r="J4" s="310" t="s">
        <v>158</v>
      </c>
      <c r="K4" s="314" t="s">
        <v>159</v>
      </c>
      <c r="L4" s="314" t="s">
        <v>160</v>
      </c>
      <c r="N4" s="4"/>
    </row>
    <row r="5" spans="1:14" ht="18" customHeight="1" x14ac:dyDescent="0.25">
      <c r="A5" s="313"/>
      <c r="B5" s="311"/>
      <c r="C5" s="311"/>
      <c r="D5" s="311"/>
      <c r="E5" s="311"/>
      <c r="F5" s="311"/>
      <c r="G5" s="311"/>
      <c r="H5" s="311"/>
      <c r="I5" s="311"/>
      <c r="J5" s="311"/>
      <c r="K5" s="314"/>
      <c r="L5" s="314"/>
    </row>
    <row r="6" spans="1:14" x14ac:dyDescent="0.25">
      <c r="A6" s="157">
        <f>'Reimbursement Calculator'!A41</f>
        <v>0</v>
      </c>
      <c r="B6" s="158">
        <f>'Sewer Project Data'!AL3</f>
        <v>13458</v>
      </c>
      <c r="C6" s="158">
        <f>'Reimbursement Calculator'!U41</f>
        <v>0</v>
      </c>
      <c r="D6" s="158">
        <f>B6-C6</f>
        <v>13458</v>
      </c>
      <c r="E6" s="159">
        <f>'Reimbursement Calculator'!J41*0.65</f>
        <v>0</v>
      </c>
      <c r="F6" s="30" t="e">
        <f>G6/(E6/0.65)</f>
        <v>#DIV/0!</v>
      </c>
      <c r="G6" s="160">
        <f>'Reimbursement Calculator'!I41</f>
        <v>0</v>
      </c>
      <c r="H6" s="159">
        <f>E6-G6</f>
        <v>0</v>
      </c>
      <c r="I6" s="159">
        <f>'Reimbursement Calculator'!J41*0.5</f>
        <v>0</v>
      </c>
      <c r="J6" s="159">
        <f>IF(((G6+$C$2)-I6)&gt;0,((G6+$C$2)-I6),0)</f>
        <v>0</v>
      </c>
      <c r="K6" s="30" t="e">
        <f>IF(G6&lt;I6,J6/(E6-I6),$C$2/H6)</f>
        <v>#DIV/0!</v>
      </c>
      <c r="L6" s="158" t="e">
        <f>K6*D6</f>
        <v>#DIV/0!</v>
      </c>
    </row>
    <row r="7" spans="1:14" x14ac:dyDescent="0.25">
      <c r="A7" s="157">
        <f>'Reimbursement Calculator'!A42</f>
        <v>0</v>
      </c>
      <c r="B7" s="158">
        <f>'Sewer Project Data'!AL4</f>
        <v>13458</v>
      </c>
      <c r="C7" s="158">
        <f>'Reimbursement Calculator'!U42</f>
        <v>0</v>
      </c>
      <c r="D7" s="158">
        <f t="shared" ref="D7:D22" si="0">B7-C7</f>
        <v>13458</v>
      </c>
      <c r="E7" s="159">
        <f>'Reimbursement Calculator'!J42*0.65</f>
        <v>0</v>
      </c>
      <c r="F7" s="30" t="e">
        <f>G7/(E7/0.65)</f>
        <v>#DIV/0!</v>
      </c>
      <c r="G7" s="160">
        <f>'Reimbursement Calculator'!I42</f>
        <v>0</v>
      </c>
      <c r="H7" s="159">
        <f t="shared" ref="H7:H28" si="1">E7-G7</f>
        <v>0</v>
      </c>
      <c r="I7" s="159">
        <f>'Reimbursement Calculator'!J42*0.5</f>
        <v>0</v>
      </c>
      <c r="J7" s="159">
        <f t="shared" ref="J7:J28" si="2">IF((G7+$C$2-I7)&gt;0,(G7+$C$2-I7),0)</f>
        <v>0</v>
      </c>
      <c r="K7" s="30" t="e">
        <f t="shared" ref="K7:K28" si="3">IF(G7&lt;I7,J7/(E7-I7),$C$2/H7)</f>
        <v>#DIV/0!</v>
      </c>
      <c r="L7" s="158" t="e">
        <f t="shared" ref="L7:L28" si="4">K7*D7</f>
        <v>#DIV/0!</v>
      </c>
    </row>
    <row r="8" spans="1:14" x14ac:dyDescent="0.25">
      <c r="A8" s="157">
        <f>'Reimbursement Calculator'!A43</f>
        <v>0</v>
      </c>
      <c r="B8" s="158">
        <f>'Sewer Project Data'!AL5</f>
        <v>13458</v>
      </c>
      <c r="C8" s="158">
        <f>'Reimbursement Calculator'!U43</f>
        <v>0</v>
      </c>
      <c r="D8" s="158">
        <f t="shared" si="0"/>
        <v>13458</v>
      </c>
      <c r="E8" s="159">
        <f>'Reimbursement Calculator'!J43*0.65</f>
        <v>0</v>
      </c>
      <c r="F8" s="30" t="e">
        <f t="shared" ref="F8:F22" si="5">G8/(E8/0.65)</f>
        <v>#DIV/0!</v>
      </c>
      <c r="G8" s="160">
        <f>'Reimbursement Calculator'!I43</f>
        <v>0</v>
      </c>
      <c r="H8" s="159">
        <f t="shared" si="1"/>
        <v>0</v>
      </c>
      <c r="I8" s="159">
        <f>'Reimbursement Calculator'!J43*0.5</f>
        <v>0</v>
      </c>
      <c r="J8" s="159">
        <f t="shared" si="2"/>
        <v>0</v>
      </c>
      <c r="K8" s="30" t="e">
        <f t="shared" si="3"/>
        <v>#DIV/0!</v>
      </c>
      <c r="L8" s="158" t="e">
        <f t="shared" si="4"/>
        <v>#DIV/0!</v>
      </c>
    </row>
    <row r="9" spans="1:14" x14ac:dyDescent="0.25">
      <c r="A9" s="157">
        <f>'Reimbursement Calculator'!A44</f>
        <v>0</v>
      </c>
      <c r="B9" s="158">
        <f>'Sewer Project Data'!AL6</f>
        <v>13458</v>
      </c>
      <c r="C9" s="158">
        <f>'Reimbursement Calculator'!U44</f>
        <v>0</v>
      </c>
      <c r="D9" s="158">
        <f t="shared" si="0"/>
        <v>13458</v>
      </c>
      <c r="E9" s="159">
        <f>'Reimbursement Calculator'!J44*0.65</f>
        <v>0</v>
      </c>
      <c r="F9" s="30" t="e">
        <f t="shared" si="5"/>
        <v>#DIV/0!</v>
      </c>
      <c r="G9" s="160">
        <f>'Reimbursement Calculator'!I44</f>
        <v>0</v>
      </c>
      <c r="H9" s="159">
        <f t="shared" si="1"/>
        <v>0</v>
      </c>
      <c r="I9" s="159">
        <f>'Reimbursement Calculator'!J44*0.5</f>
        <v>0</v>
      </c>
      <c r="J9" s="159">
        <f t="shared" si="2"/>
        <v>0</v>
      </c>
      <c r="K9" s="30" t="e">
        <f t="shared" si="3"/>
        <v>#DIV/0!</v>
      </c>
      <c r="L9" s="158" t="e">
        <f t="shared" si="4"/>
        <v>#DIV/0!</v>
      </c>
    </row>
    <row r="10" spans="1:14" x14ac:dyDescent="0.25">
      <c r="A10" s="157">
        <f>'Reimbursement Calculator'!A45</f>
        <v>0</v>
      </c>
      <c r="B10" s="158">
        <f>'Sewer Project Data'!AL7</f>
        <v>13458</v>
      </c>
      <c r="C10" s="158">
        <f>'Reimbursement Calculator'!U45</f>
        <v>0</v>
      </c>
      <c r="D10" s="158">
        <f t="shared" si="0"/>
        <v>13458</v>
      </c>
      <c r="E10" s="159">
        <f>'Reimbursement Calculator'!J45*0.65</f>
        <v>0</v>
      </c>
      <c r="F10" s="30" t="e">
        <f t="shared" si="5"/>
        <v>#DIV/0!</v>
      </c>
      <c r="G10" s="160">
        <f>'Reimbursement Calculator'!I45</f>
        <v>0</v>
      </c>
      <c r="H10" s="159">
        <f t="shared" si="1"/>
        <v>0</v>
      </c>
      <c r="I10" s="159">
        <f>'Reimbursement Calculator'!J45*0.5</f>
        <v>0</v>
      </c>
      <c r="J10" s="159">
        <f t="shared" si="2"/>
        <v>0</v>
      </c>
      <c r="K10" s="30" t="e">
        <f t="shared" si="3"/>
        <v>#DIV/0!</v>
      </c>
      <c r="L10" s="158" t="e">
        <f t="shared" si="4"/>
        <v>#DIV/0!</v>
      </c>
    </row>
    <row r="11" spans="1:14" x14ac:dyDescent="0.25">
      <c r="A11" s="157">
        <f>'Reimbursement Calculator'!A46</f>
        <v>0</v>
      </c>
      <c r="B11" s="158">
        <f>'Sewer Project Data'!AL8</f>
        <v>13458</v>
      </c>
      <c r="C11" s="158">
        <f>'Reimbursement Calculator'!U46</f>
        <v>0</v>
      </c>
      <c r="D11" s="158">
        <f t="shared" si="0"/>
        <v>13458</v>
      </c>
      <c r="E11" s="159">
        <f>'Reimbursement Calculator'!J46*0.65</f>
        <v>0</v>
      </c>
      <c r="F11" s="30" t="e">
        <f t="shared" si="5"/>
        <v>#DIV/0!</v>
      </c>
      <c r="G11" s="160">
        <f>'Reimbursement Calculator'!I46</f>
        <v>0</v>
      </c>
      <c r="H11" s="159">
        <f t="shared" si="1"/>
        <v>0</v>
      </c>
      <c r="I11" s="159">
        <f>'Reimbursement Calculator'!J46*0.5</f>
        <v>0</v>
      </c>
      <c r="J11" s="159">
        <f t="shared" si="2"/>
        <v>0</v>
      </c>
      <c r="K11" s="30" t="e">
        <f t="shared" si="3"/>
        <v>#DIV/0!</v>
      </c>
      <c r="L11" s="158" t="e">
        <f t="shared" si="4"/>
        <v>#DIV/0!</v>
      </c>
    </row>
    <row r="12" spans="1:14" x14ac:dyDescent="0.25">
      <c r="A12" s="157">
        <f>'Reimbursement Calculator'!A47</f>
        <v>0</v>
      </c>
      <c r="B12" s="158">
        <f>'Sewer Project Data'!AL9</f>
        <v>13458</v>
      </c>
      <c r="C12" s="158">
        <f>'Reimbursement Calculator'!U47</f>
        <v>0</v>
      </c>
      <c r="D12" s="158">
        <f t="shared" si="0"/>
        <v>13458</v>
      </c>
      <c r="E12" s="159">
        <f>'Reimbursement Calculator'!J47*0.65</f>
        <v>0</v>
      </c>
      <c r="F12" s="30" t="e">
        <f t="shared" si="5"/>
        <v>#DIV/0!</v>
      </c>
      <c r="G12" s="160">
        <f>'Reimbursement Calculator'!I47</f>
        <v>0</v>
      </c>
      <c r="H12" s="159">
        <f t="shared" si="1"/>
        <v>0</v>
      </c>
      <c r="I12" s="159">
        <f>'Reimbursement Calculator'!J47*0.5</f>
        <v>0</v>
      </c>
      <c r="J12" s="159">
        <f t="shared" si="2"/>
        <v>0</v>
      </c>
      <c r="K12" s="30" t="e">
        <f t="shared" si="3"/>
        <v>#DIV/0!</v>
      </c>
      <c r="L12" s="158" t="e">
        <f t="shared" si="4"/>
        <v>#DIV/0!</v>
      </c>
    </row>
    <row r="13" spans="1:14" x14ac:dyDescent="0.25">
      <c r="A13" s="157">
        <f>'Reimbursement Calculator'!A48</f>
        <v>0</v>
      </c>
      <c r="B13" s="158">
        <f>'Sewer Project Data'!AL10</f>
        <v>13458</v>
      </c>
      <c r="C13" s="158">
        <f>'Reimbursement Calculator'!U48</f>
        <v>0</v>
      </c>
      <c r="D13" s="158">
        <f t="shared" si="0"/>
        <v>13458</v>
      </c>
      <c r="E13" s="159">
        <f>'Reimbursement Calculator'!J48*0.65</f>
        <v>0</v>
      </c>
      <c r="F13" s="30" t="e">
        <f t="shared" si="5"/>
        <v>#DIV/0!</v>
      </c>
      <c r="G13" s="160">
        <f>'Reimbursement Calculator'!I48</f>
        <v>0</v>
      </c>
      <c r="H13" s="159">
        <f t="shared" si="1"/>
        <v>0</v>
      </c>
      <c r="I13" s="159">
        <f>'Reimbursement Calculator'!J48*0.5</f>
        <v>0</v>
      </c>
      <c r="J13" s="159">
        <f t="shared" si="2"/>
        <v>0</v>
      </c>
      <c r="K13" s="30" t="e">
        <f t="shared" si="3"/>
        <v>#DIV/0!</v>
      </c>
      <c r="L13" s="158" t="e">
        <f t="shared" si="4"/>
        <v>#DIV/0!</v>
      </c>
    </row>
    <row r="14" spans="1:14" x14ac:dyDescent="0.25">
      <c r="A14" s="157">
        <f>'Reimbursement Calculator'!A49</f>
        <v>0</v>
      </c>
      <c r="B14" s="158">
        <f>'Sewer Project Data'!AL11</f>
        <v>13458</v>
      </c>
      <c r="C14" s="158">
        <f>'Reimbursement Calculator'!U49</f>
        <v>0</v>
      </c>
      <c r="D14" s="158">
        <f t="shared" si="0"/>
        <v>13458</v>
      </c>
      <c r="E14" s="159">
        <f>'Reimbursement Calculator'!J49*0.65</f>
        <v>0</v>
      </c>
      <c r="F14" s="30" t="e">
        <f t="shared" si="5"/>
        <v>#DIV/0!</v>
      </c>
      <c r="G14" s="160">
        <f>'Reimbursement Calculator'!I49</f>
        <v>0</v>
      </c>
      <c r="H14" s="159">
        <f t="shared" si="1"/>
        <v>0</v>
      </c>
      <c r="I14" s="159">
        <f>'Reimbursement Calculator'!J49*0.5</f>
        <v>0</v>
      </c>
      <c r="J14" s="159">
        <f t="shared" si="2"/>
        <v>0</v>
      </c>
      <c r="K14" s="30" t="e">
        <f t="shared" si="3"/>
        <v>#DIV/0!</v>
      </c>
      <c r="L14" s="158" t="e">
        <f t="shared" si="4"/>
        <v>#DIV/0!</v>
      </c>
    </row>
    <row r="15" spans="1:14" x14ac:dyDescent="0.25">
      <c r="A15" s="157">
        <f>'Reimbursement Calculator'!A50</f>
        <v>0</v>
      </c>
      <c r="B15" s="158">
        <f>'Sewer Project Data'!AL12</f>
        <v>13458</v>
      </c>
      <c r="C15" s="158">
        <f>'Reimbursement Calculator'!U50</f>
        <v>0</v>
      </c>
      <c r="D15" s="158">
        <f t="shared" si="0"/>
        <v>13458</v>
      </c>
      <c r="E15" s="159">
        <f>'Reimbursement Calculator'!J50*0.65</f>
        <v>0</v>
      </c>
      <c r="F15" s="30" t="e">
        <f t="shared" si="5"/>
        <v>#DIV/0!</v>
      </c>
      <c r="G15" s="160">
        <f>'Reimbursement Calculator'!I50</f>
        <v>0</v>
      </c>
      <c r="H15" s="159">
        <f t="shared" si="1"/>
        <v>0</v>
      </c>
      <c r="I15" s="159">
        <f>'Reimbursement Calculator'!J50*0.5</f>
        <v>0</v>
      </c>
      <c r="J15" s="159">
        <f t="shared" si="2"/>
        <v>0</v>
      </c>
      <c r="K15" s="30" t="e">
        <f t="shared" si="3"/>
        <v>#DIV/0!</v>
      </c>
      <c r="L15" s="158" t="e">
        <f t="shared" si="4"/>
        <v>#DIV/0!</v>
      </c>
    </row>
    <row r="16" spans="1:14" x14ac:dyDescent="0.25">
      <c r="A16" s="157">
        <f>'Reimbursement Calculator'!A51</f>
        <v>0</v>
      </c>
      <c r="B16" s="158">
        <f>'Sewer Project Data'!AL13</f>
        <v>13458</v>
      </c>
      <c r="C16" s="158">
        <f>'Reimbursement Calculator'!U51</f>
        <v>0</v>
      </c>
      <c r="D16" s="158">
        <f t="shared" si="0"/>
        <v>13458</v>
      </c>
      <c r="E16" s="159">
        <f>'Reimbursement Calculator'!J51*0.65</f>
        <v>0</v>
      </c>
      <c r="F16" s="30" t="e">
        <f t="shared" si="5"/>
        <v>#DIV/0!</v>
      </c>
      <c r="G16" s="160">
        <f>'Reimbursement Calculator'!I51</f>
        <v>0</v>
      </c>
      <c r="H16" s="159">
        <f t="shared" si="1"/>
        <v>0</v>
      </c>
      <c r="I16" s="159">
        <f>'Reimbursement Calculator'!J51*0.5</f>
        <v>0</v>
      </c>
      <c r="J16" s="159">
        <f t="shared" si="2"/>
        <v>0</v>
      </c>
      <c r="K16" s="30" t="e">
        <f t="shared" si="3"/>
        <v>#DIV/0!</v>
      </c>
      <c r="L16" s="158" t="e">
        <f t="shared" si="4"/>
        <v>#DIV/0!</v>
      </c>
    </row>
    <row r="17" spans="1:12" x14ac:dyDescent="0.25">
      <c r="A17" s="157">
        <f>'Reimbursement Calculator'!A52</f>
        <v>0</v>
      </c>
      <c r="B17" s="158">
        <f>'Sewer Project Data'!AL14</f>
        <v>13458</v>
      </c>
      <c r="C17" s="158">
        <f>'Reimbursement Calculator'!U52</f>
        <v>0</v>
      </c>
      <c r="D17" s="158">
        <f t="shared" si="0"/>
        <v>13458</v>
      </c>
      <c r="E17" s="159">
        <f>'Reimbursement Calculator'!J52*0.65</f>
        <v>0</v>
      </c>
      <c r="F17" s="30" t="e">
        <f t="shared" si="5"/>
        <v>#DIV/0!</v>
      </c>
      <c r="G17" s="160">
        <f>'Reimbursement Calculator'!I52</f>
        <v>0</v>
      </c>
      <c r="H17" s="159">
        <f t="shared" si="1"/>
        <v>0</v>
      </c>
      <c r="I17" s="159">
        <f>'Reimbursement Calculator'!J52*0.5</f>
        <v>0</v>
      </c>
      <c r="J17" s="159">
        <f t="shared" si="2"/>
        <v>0</v>
      </c>
      <c r="K17" s="30" t="e">
        <f t="shared" si="3"/>
        <v>#DIV/0!</v>
      </c>
      <c r="L17" s="158" t="e">
        <f t="shared" si="4"/>
        <v>#DIV/0!</v>
      </c>
    </row>
    <row r="18" spans="1:12" x14ac:dyDescent="0.25">
      <c r="A18" s="157">
        <f>'Reimbursement Calculator'!A53</f>
        <v>0</v>
      </c>
      <c r="B18" s="158">
        <f>'Sewer Project Data'!AL15</f>
        <v>13458</v>
      </c>
      <c r="C18" s="158">
        <f>'Reimbursement Calculator'!U53</f>
        <v>0</v>
      </c>
      <c r="D18" s="158">
        <f t="shared" si="0"/>
        <v>13458</v>
      </c>
      <c r="E18" s="159">
        <f>'Reimbursement Calculator'!J53*0.65</f>
        <v>0</v>
      </c>
      <c r="F18" s="30" t="e">
        <f t="shared" si="5"/>
        <v>#DIV/0!</v>
      </c>
      <c r="G18" s="160">
        <f>'Reimbursement Calculator'!I53</f>
        <v>0</v>
      </c>
      <c r="H18" s="159">
        <f t="shared" si="1"/>
        <v>0</v>
      </c>
      <c r="I18" s="159">
        <f>'Reimbursement Calculator'!J53*0.5</f>
        <v>0</v>
      </c>
      <c r="J18" s="159">
        <f t="shared" si="2"/>
        <v>0</v>
      </c>
      <c r="K18" s="30" t="e">
        <f t="shared" si="3"/>
        <v>#DIV/0!</v>
      </c>
      <c r="L18" s="158" t="e">
        <f t="shared" si="4"/>
        <v>#DIV/0!</v>
      </c>
    </row>
    <row r="19" spans="1:12" x14ac:dyDescent="0.25">
      <c r="A19" s="157">
        <f>'Reimbursement Calculator'!A54</f>
        <v>0</v>
      </c>
      <c r="B19" s="158">
        <f>'Sewer Project Data'!AL16</f>
        <v>13458</v>
      </c>
      <c r="C19" s="158">
        <f>'Reimbursement Calculator'!U54</f>
        <v>0</v>
      </c>
      <c r="D19" s="158">
        <f t="shared" si="0"/>
        <v>13458</v>
      </c>
      <c r="E19" s="159">
        <f>'Reimbursement Calculator'!J54*0.65</f>
        <v>0</v>
      </c>
      <c r="F19" s="30" t="e">
        <f t="shared" si="5"/>
        <v>#DIV/0!</v>
      </c>
      <c r="G19" s="160">
        <f>'Reimbursement Calculator'!I54</f>
        <v>0</v>
      </c>
      <c r="H19" s="159">
        <f t="shared" si="1"/>
        <v>0</v>
      </c>
      <c r="I19" s="159">
        <f>'Reimbursement Calculator'!J54*0.5</f>
        <v>0</v>
      </c>
      <c r="J19" s="159">
        <f t="shared" si="2"/>
        <v>0</v>
      </c>
      <c r="K19" s="30" t="e">
        <f t="shared" si="3"/>
        <v>#DIV/0!</v>
      </c>
      <c r="L19" s="158" t="e">
        <f t="shared" si="4"/>
        <v>#DIV/0!</v>
      </c>
    </row>
    <row r="20" spans="1:12" x14ac:dyDescent="0.25">
      <c r="A20" s="157">
        <f>'Reimbursement Calculator'!A55</f>
        <v>0</v>
      </c>
      <c r="B20" s="158">
        <f>'Sewer Project Data'!AL17</f>
        <v>13458</v>
      </c>
      <c r="C20" s="158">
        <f>'Reimbursement Calculator'!U55</f>
        <v>0</v>
      </c>
      <c r="D20" s="158">
        <f t="shared" si="0"/>
        <v>13458</v>
      </c>
      <c r="E20" s="159">
        <f>'Reimbursement Calculator'!J55*0.65</f>
        <v>0</v>
      </c>
      <c r="F20" s="30" t="e">
        <f t="shared" si="5"/>
        <v>#DIV/0!</v>
      </c>
      <c r="G20" s="160">
        <f>'Reimbursement Calculator'!I55</f>
        <v>0</v>
      </c>
      <c r="H20" s="159">
        <f t="shared" si="1"/>
        <v>0</v>
      </c>
      <c r="I20" s="159">
        <f>'Reimbursement Calculator'!J55*0.5</f>
        <v>0</v>
      </c>
      <c r="J20" s="159">
        <f t="shared" si="2"/>
        <v>0</v>
      </c>
      <c r="K20" s="30" t="e">
        <f t="shared" si="3"/>
        <v>#DIV/0!</v>
      </c>
      <c r="L20" s="158" t="e">
        <f t="shared" si="4"/>
        <v>#DIV/0!</v>
      </c>
    </row>
    <row r="21" spans="1:12" x14ac:dyDescent="0.25">
      <c r="A21" s="157">
        <f>'Reimbursement Calculator'!A56</f>
        <v>0</v>
      </c>
      <c r="B21" s="158">
        <f>'Sewer Project Data'!AL18</f>
        <v>13458</v>
      </c>
      <c r="C21" s="158">
        <f>'Reimbursement Calculator'!U56</f>
        <v>0</v>
      </c>
      <c r="D21" s="158">
        <f t="shared" si="0"/>
        <v>13458</v>
      </c>
      <c r="E21" s="159">
        <f>'Reimbursement Calculator'!J56*0.65</f>
        <v>0</v>
      </c>
      <c r="F21" s="30" t="e">
        <f t="shared" si="5"/>
        <v>#DIV/0!</v>
      </c>
      <c r="G21" s="160">
        <f>'Reimbursement Calculator'!I56</f>
        <v>0</v>
      </c>
      <c r="H21" s="159">
        <f t="shared" si="1"/>
        <v>0</v>
      </c>
      <c r="I21" s="159">
        <f>'Reimbursement Calculator'!J56*0.5</f>
        <v>0</v>
      </c>
      <c r="J21" s="159">
        <f t="shared" si="2"/>
        <v>0</v>
      </c>
      <c r="K21" s="30" t="e">
        <f t="shared" si="3"/>
        <v>#DIV/0!</v>
      </c>
      <c r="L21" s="158" t="e">
        <f t="shared" si="4"/>
        <v>#DIV/0!</v>
      </c>
    </row>
    <row r="22" spans="1:12" x14ac:dyDescent="0.25">
      <c r="A22" s="157">
        <f>'Reimbursement Calculator'!A57</f>
        <v>0</v>
      </c>
      <c r="B22" s="158">
        <f>'Sewer Project Data'!AL19</f>
        <v>13458</v>
      </c>
      <c r="C22" s="158">
        <f>'Reimbursement Calculator'!U57</f>
        <v>0</v>
      </c>
      <c r="D22" s="158">
        <f t="shared" si="0"/>
        <v>13458</v>
      </c>
      <c r="E22" s="159">
        <f>'Reimbursement Calculator'!J57*0.65</f>
        <v>0</v>
      </c>
      <c r="F22" s="30" t="e">
        <f t="shared" si="5"/>
        <v>#DIV/0!</v>
      </c>
      <c r="G22" s="160">
        <f>'Reimbursement Calculator'!I57</f>
        <v>0</v>
      </c>
      <c r="H22" s="159">
        <f t="shared" si="1"/>
        <v>0</v>
      </c>
      <c r="I22" s="159">
        <f>'Reimbursement Calculator'!J57*0.5</f>
        <v>0</v>
      </c>
      <c r="J22" s="159">
        <f t="shared" si="2"/>
        <v>0</v>
      </c>
      <c r="K22" s="30" t="e">
        <f t="shared" si="3"/>
        <v>#DIV/0!</v>
      </c>
      <c r="L22" s="158" t="e">
        <f t="shared" si="4"/>
        <v>#DIV/0!</v>
      </c>
    </row>
    <row r="23" spans="1:12" x14ac:dyDescent="0.25">
      <c r="A23" s="157">
        <f>'Reimbursement Calculator'!A58</f>
        <v>0</v>
      </c>
      <c r="B23" s="158">
        <f>'Sewer Project Data'!AL20</f>
        <v>13458</v>
      </c>
      <c r="C23" s="158">
        <f>'Reimbursement Calculator'!U58</f>
        <v>0</v>
      </c>
      <c r="D23" s="158">
        <f t="shared" ref="D23:D28" si="6">B23-C23</f>
        <v>13458</v>
      </c>
      <c r="E23" s="159">
        <f>'Reimbursement Calculator'!J58*0.65</f>
        <v>0</v>
      </c>
      <c r="F23" s="30" t="e">
        <f t="shared" ref="F23:F28" si="7">G23/(E23/0.65)</f>
        <v>#DIV/0!</v>
      </c>
      <c r="G23" s="160">
        <f>'Reimbursement Calculator'!I58</f>
        <v>0</v>
      </c>
      <c r="H23" s="159">
        <f t="shared" si="1"/>
        <v>0</v>
      </c>
      <c r="I23" s="159">
        <f>'Reimbursement Calculator'!J58*0.5</f>
        <v>0</v>
      </c>
      <c r="J23" s="159">
        <f t="shared" si="2"/>
        <v>0</v>
      </c>
      <c r="K23" s="30" t="e">
        <f t="shared" si="3"/>
        <v>#DIV/0!</v>
      </c>
      <c r="L23" s="158" t="e">
        <f t="shared" si="4"/>
        <v>#DIV/0!</v>
      </c>
    </row>
    <row r="24" spans="1:12" x14ac:dyDescent="0.25">
      <c r="A24" s="157">
        <f>'Reimbursement Calculator'!A59</f>
        <v>0</v>
      </c>
      <c r="B24" s="158">
        <f>'Sewer Project Data'!AL21</f>
        <v>13458</v>
      </c>
      <c r="C24" s="158">
        <f>'Reimbursement Calculator'!U59</f>
        <v>0</v>
      </c>
      <c r="D24" s="158">
        <f t="shared" si="6"/>
        <v>13458</v>
      </c>
      <c r="E24" s="159">
        <f>'Reimbursement Calculator'!J59*0.65</f>
        <v>0</v>
      </c>
      <c r="F24" s="30" t="e">
        <f t="shared" si="7"/>
        <v>#DIV/0!</v>
      </c>
      <c r="G24" s="160">
        <f>'Reimbursement Calculator'!I59</f>
        <v>0</v>
      </c>
      <c r="H24" s="159">
        <f t="shared" si="1"/>
        <v>0</v>
      </c>
      <c r="I24" s="159">
        <f>'Reimbursement Calculator'!J59*0.5</f>
        <v>0</v>
      </c>
      <c r="J24" s="159">
        <f t="shared" si="2"/>
        <v>0</v>
      </c>
      <c r="K24" s="30" t="e">
        <f t="shared" si="3"/>
        <v>#DIV/0!</v>
      </c>
      <c r="L24" s="158" t="e">
        <f t="shared" si="4"/>
        <v>#DIV/0!</v>
      </c>
    </row>
    <row r="25" spans="1:12" x14ac:dyDescent="0.25">
      <c r="A25" s="157">
        <f>'Reimbursement Calculator'!A60</f>
        <v>0</v>
      </c>
      <c r="B25" s="158">
        <f>'Sewer Project Data'!AL22</f>
        <v>13458</v>
      </c>
      <c r="C25" s="158">
        <f>'Reimbursement Calculator'!U60</f>
        <v>0</v>
      </c>
      <c r="D25" s="158">
        <f t="shared" si="6"/>
        <v>13458</v>
      </c>
      <c r="E25" s="159">
        <f>'Reimbursement Calculator'!J60*0.65</f>
        <v>0</v>
      </c>
      <c r="F25" s="30" t="e">
        <f t="shared" si="7"/>
        <v>#DIV/0!</v>
      </c>
      <c r="G25" s="160">
        <f>'Reimbursement Calculator'!I60</f>
        <v>0</v>
      </c>
      <c r="H25" s="159">
        <f t="shared" si="1"/>
        <v>0</v>
      </c>
      <c r="I25" s="159">
        <f>'Reimbursement Calculator'!J60*0.5</f>
        <v>0</v>
      </c>
      <c r="J25" s="159">
        <f t="shared" si="2"/>
        <v>0</v>
      </c>
      <c r="K25" s="30" t="e">
        <f t="shared" si="3"/>
        <v>#DIV/0!</v>
      </c>
      <c r="L25" s="158" t="e">
        <f t="shared" si="4"/>
        <v>#DIV/0!</v>
      </c>
    </row>
    <row r="26" spans="1:12" x14ac:dyDescent="0.25">
      <c r="A26" s="157">
        <f>'Reimbursement Calculator'!A61</f>
        <v>0</v>
      </c>
      <c r="B26" s="158">
        <f>'Sewer Project Data'!AL23</f>
        <v>13458</v>
      </c>
      <c r="C26" s="158">
        <f>'Reimbursement Calculator'!U61</f>
        <v>0</v>
      </c>
      <c r="D26" s="158">
        <f t="shared" si="6"/>
        <v>13458</v>
      </c>
      <c r="E26" s="159">
        <f>'Reimbursement Calculator'!J61*0.65</f>
        <v>0</v>
      </c>
      <c r="F26" s="30" t="e">
        <f t="shared" si="7"/>
        <v>#DIV/0!</v>
      </c>
      <c r="G26" s="160">
        <f>'Reimbursement Calculator'!I61</f>
        <v>0</v>
      </c>
      <c r="H26" s="159">
        <f t="shared" si="1"/>
        <v>0</v>
      </c>
      <c r="I26" s="159">
        <f>'Reimbursement Calculator'!J61*0.5</f>
        <v>0</v>
      </c>
      <c r="J26" s="159">
        <f t="shared" si="2"/>
        <v>0</v>
      </c>
      <c r="K26" s="30" t="e">
        <f t="shared" si="3"/>
        <v>#DIV/0!</v>
      </c>
      <c r="L26" s="158" t="e">
        <f t="shared" si="4"/>
        <v>#DIV/0!</v>
      </c>
    </row>
    <row r="27" spans="1:12" x14ac:dyDescent="0.25">
      <c r="A27" s="157">
        <f>'Reimbursement Calculator'!A62</f>
        <v>0</v>
      </c>
      <c r="B27" s="158">
        <f>'Sewer Project Data'!AL24</f>
        <v>13458</v>
      </c>
      <c r="C27" s="158">
        <f>'Reimbursement Calculator'!U62</f>
        <v>0</v>
      </c>
      <c r="D27" s="158">
        <f t="shared" si="6"/>
        <v>13458</v>
      </c>
      <c r="E27" s="159">
        <f>'Reimbursement Calculator'!J62*0.65</f>
        <v>0</v>
      </c>
      <c r="F27" s="30" t="e">
        <f t="shared" si="7"/>
        <v>#DIV/0!</v>
      </c>
      <c r="G27" s="160">
        <f>'Reimbursement Calculator'!I62</f>
        <v>0</v>
      </c>
      <c r="H27" s="159">
        <f t="shared" si="1"/>
        <v>0</v>
      </c>
      <c r="I27" s="159">
        <f>'Reimbursement Calculator'!J62*0.5</f>
        <v>0</v>
      </c>
      <c r="J27" s="159">
        <f t="shared" si="2"/>
        <v>0</v>
      </c>
      <c r="K27" s="30" t="e">
        <f t="shared" si="3"/>
        <v>#DIV/0!</v>
      </c>
      <c r="L27" s="158" t="e">
        <f t="shared" si="4"/>
        <v>#DIV/0!</v>
      </c>
    </row>
    <row r="28" spans="1:12" x14ac:dyDescent="0.25">
      <c r="A28" s="157">
        <f>'Reimbursement Calculator'!A63</f>
        <v>0</v>
      </c>
      <c r="B28" s="158">
        <f>'Sewer Project Data'!AL25</f>
        <v>13458</v>
      </c>
      <c r="C28" s="158">
        <f>'Reimbursement Calculator'!U63</f>
        <v>0</v>
      </c>
      <c r="D28" s="158">
        <f t="shared" si="6"/>
        <v>13458</v>
      </c>
      <c r="E28" s="159">
        <f>'Reimbursement Calculator'!J63*0.65</f>
        <v>0</v>
      </c>
      <c r="F28" s="30" t="e">
        <f t="shared" si="7"/>
        <v>#DIV/0!</v>
      </c>
      <c r="G28" s="160">
        <f>'Reimbursement Calculator'!I63</f>
        <v>0</v>
      </c>
      <c r="H28" s="159">
        <f t="shared" si="1"/>
        <v>0</v>
      </c>
      <c r="I28" s="159">
        <f>'Reimbursement Calculator'!J63*0.5</f>
        <v>0</v>
      </c>
      <c r="J28" s="159">
        <f t="shared" si="2"/>
        <v>0</v>
      </c>
      <c r="K28" s="30" t="e">
        <f t="shared" si="3"/>
        <v>#DIV/0!</v>
      </c>
      <c r="L28" s="158" t="e">
        <f t="shared" si="4"/>
        <v>#DIV/0!</v>
      </c>
    </row>
    <row r="29" spans="1:12" ht="13.8" thickBot="1" x14ac:dyDescent="0.3"/>
    <row r="30" spans="1:12" ht="13.8" thickBot="1" x14ac:dyDescent="0.3">
      <c r="K30" s="58" t="s">
        <v>26</v>
      </c>
      <c r="L30" s="59" t="e">
        <f>SUM(L6:L29)</f>
        <v>#DIV/0!</v>
      </c>
    </row>
  </sheetData>
  <sheetProtection algorithmName="SHA-512" hashValue="GQKEzNv9Y/emuOpijyGmHgStsgBsvcpPvDuHDLjqLietIQxtsQhiiAs2fA23sna7+xrFrlWSg9Bl7akl58SCLw==" saltValue="VmOs3yPWFsUYHlCKjSdu1w==" spinCount="100000" sheet="1" objects="1" scenarios="1"/>
  <mergeCells count="12">
    <mergeCell ref="J4:J5"/>
    <mergeCell ref="A4:A5"/>
    <mergeCell ref="L4:L5"/>
    <mergeCell ref="K4:K5"/>
    <mergeCell ref="B4:B5"/>
    <mergeCell ref="C4:C5"/>
    <mergeCell ref="D4:D5"/>
    <mergeCell ref="E4:E5"/>
    <mergeCell ref="F4:F5"/>
    <mergeCell ref="G4:G5"/>
    <mergeCell ref="H4:H5"/>
    <mergeCell ref="I4:I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eee167-adf1-4db3-86af-89c1105dbf9a" xsi:nil="true"/>
    <lcf76f155ced4ddcb4097134ff3c332f xmlns="e73b9f78-5d1a-4031-9ba1-012ccb16ce66">
      <Terms xmlns="http://schemas.microsoft.com/office/infopath/2007/PartnerControls"/>
    </lcf76f155ced4ddcb4097134ff3c332f>
    <File_x0020_Status xmlns="57e5a143-cfaf-404d-a739-a6bf198ca2fd">Ready to Publish</File_x0020_Status>
    <Cloud_x0020_URL xmlns="57e5a143-cfaf-404d-a739-a6bf198ca2fd" xsi:nil="true"/>
    <Job_x0020_Status1 xmlns="57e5a143-cfaf-404d-a739-a6bf198ca2fd">None</Job_x0020_Status1>
    <Requestor xmlns="57e5a143-cfaf-404d-a739-a6bf198ca2fd">
      <UserInfo>
        <DisplayName/>
        <AccountId xsi:nil="true"/>
        <AccountType/>
      </UserInfo>
    </Requestor>
  </documentManagement>
</p:properties>
</file>

<file path=customXml/item2.xml><?xml version="1.0" encoding="utf-8"?>
<ct:contentTypeSchema xmlns:ct="http://schemas.microsoft.com/office/2006/metadata/contentType" xmlns:ma="http://schemas.microsoft.com/office/2006/metadata/properties/metaAttributes" ct:_="" ma:_="" ma:contentTypeName="Raleigh-Public-WebSite" ma:contentTypeID="0x0101006DEB8297AF301742B1CAE877A57B92DF00B61535229E3ED445BAD2E3E90076E21E" ma:contentTypeVersion="66" ma:contentTypeDescription="" ma:contentTypeScope="" ma:versionID="e213d7710ec36043497b1966f350a64b">
  <xsd:schema xmlns:xsd="http://www.w3.org/2001/XMLSchema" xmlns:xs="http://www.w3.org/2001/XMLSchema" xmlns:p="http://schemas.microsoft.com/office/2006/metadata/properties" xmlns:ns2="57e5a143-cfaf-404d-a739-a6bf198ca2fd" xmlns:ns3="e73b9f78-5d1a-4031-9ba1-012ccb16ce66" xmlns:ns4="b4eee167-adf1-4db3-86af-89c1105dbf9a" targetNamespace="http://schemas.microsoft.com/office/2006/metadata/properties" ma:root="true" ma:fieldsID="73050d6754f4f660428305fec0acaf4a" ns2:_="" ns3:_="" ns4:_="">
    <xsd:import namespace="57e5a143-cfaf-404d-a739-a6bf198ca2fd"/>
    <xsd:import namespace="e73b9f78-5d1a-4031-9ba1-012ccb16ce66"/>
    <xsd:import namespace="b4eee167-adf1-4db3-86af-89c1105dbf9a"/>
    <xsd:element name="properties">
      <xsd:complexType>
        <xsd:sequence>
          <xsd:element name="documentManagement">
            <xsd:complexType>
              <xsd:all>
                <xsd:element ref="ns2:File_x0020_Status" minOccurs="0"/>
                <xsd:element ref="ns2:Cloud_x0020_URL" minOccurs="0"/>
                <xsd:element ref="ns2:Requestor" minOccurs="0"/>
                <xsd:element ref="ns2:Job_x0020_Status1"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Location"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5a143-cfaf-404d-a739-a6bf198ca2fd" elementFormDefault="qualified">
    <xsd:import namespace="http://schemas.microsoft.com/office/2006/documentManagement/types"/>
    <xsd:import namespace="http://schemas.microsoft.com/office/infopath/2007/PartnerControls"/>
    <xsd:element name="File_x0020_Status" ma:index="8" nillable="true" ma:displayName="File Status" ma:default="New" ma:format="Dropdown" ma:internalName="File_x0020_Status">
      <xsd:simpleType>
        <xsd:restriction base="dms:Choice">
          <xsd:enumeration value="New"/>
          <xsd:enumeration value="Ready to Publish"/>
          <xsd:enumeration value="Published"/>
          <xsd:enumeration value="Ready to Retract"/>
          <xsd:enumeration value="Retracted"/>
        </xsd:restriction>
      </xsd:simpleType>
    </xsd:element>
    <xsd:element name="Cloud_x0020_URL" ma:index="9" nillable="true" ma:displayName="Cloud URL" ma:internalName="Cloud_x0020_URL">
      <xsd:simpleType>
        <xsd:restriction base="dms:Text">
          <xsd:maxLength value="255"/>
        </xsd:restriction>
      </xsd:simpleType>
    </xsd:element>
    <xsd:element name="Requestor" ma:index="10" nillable="true" ma:displayName="Requestor" ma:hidden="true" ma:list="UserInfo" ma:SharePointGroup="0" ma:internalName="Reques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Job_x0020_Status1" ma:index="11" nillable="true" ma:displayName="Job Status" ma:default="None" ma:format="Dropdown" ma:hidden="true" ma:internalName="Job_x0020_Status1" ma:readOnly="false">
      <xsd:simpleType>
        <xsd:restriction base="dms:Choice">
          <xsd:enumeration value="None"/>
          <xsd:enumeration value="Succeeded to Publish"/>
          <xsd:enumeration value="Succeeded to Retract"/>
          <xsd:enumeration value="Failed to Publish"/>
          <xsd:enumeration value="Failed to Retract"/>
        </xsd:restriction>
      </xsd:simpleType>
    </xsd:element>
  </xsd:schema>
  <xsd:schema xmlns:xsd="http://www.w3.org/2001/XMLSchema" xmlns:xs="http://www.w3.org/2001/XMLSchema" xmlns:dms="http://schemas.microsoft.com/office/2006/documentManagement/types" xmlns:pc="http://schemas.microsoft.com/office/infopath/2007/PartnerControls" targetNamespace="e73b9f78-5d1a-4031-9ba1-012ccb16ce66"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4390dcb-9ef6-4861-8ed4-d93efaede2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eee167-adf1-4db3-86af-89c1105dbf9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211ecab8-2f67-4386-a6ec-81260e473004}" ma:internalName="TaxCatchAll" ma:showField="CatchAllData" ma:web="b4eee167-adf1-4db3-86af-89c1105dbf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94390dcb-9ef6-4861-8ed4-d93efaede2be" ContentTypeId="0x0101006DEB8297AF301742B1CAE877A57B92DF" PreviousValue="false"/>
</file>

<file path=customXml/itemProps1.xml><?xml version="1.0" encoding="utf-8"?>
<ds:datastoreItem xmlns:ds="http://schemas.openxmlformats.org/officeDocument/2006/customXml" ds:itemID="{2E2A2560-4007-4BE5-BFBC-707DB8E168B2}">
  <ds:schemaRefs>
    <ds:schemaRef ds:uri="http://schemas.microsoft.com/office/2006/metadata/properties"/>
    <ds:schemaRef ds:uri="http://schemas.microsoft.com/office/infopath/2007/PartnerControls"/>
    <ds:schemaRef ds:uri="0f65797b-a7d5-4c38-a130-865224aa84c6"/>
    <ds:schemaRef ds:uri="fca835bb-e3ca-483d-8413-16f2e43f0d5d"/>
  </ds:schemaRefs>
</ds:datastoreItem>
</file>

<file path=customXml/itemProps2.xml><?xml version="1.0" encoding="utf-8"?>
<ds:datastoreItem xmlns:ds="http://schemas.openxmlformats.org/officeDocument/2006/customXml" ds:itemID="{ABB2B952-95F1-4802-9B22-B903C09510C5}"/>
</file>

<file path=customXml/itemProps3.xml><?xml version="1.0" encoding="utf-8"?>
<ds:datastoreItem xmlns:ds="http://schemas.openxmlformats.org/officeDocument/2006/customXml" ds:itemID="{3A96ED70-E645-425D-919E-15A2B090C0CD}">
  <ds:schemaRefs>
    <ds:schemaRef ds:uri="http://schemas.microsoft.com/sharepoint/v3/contenttype/forms"/>
  </ds:schemaRefs>
</ds:datastoreItem>
</file>

<file path=customXml/itemProps4.xml><?xml version="1.0" encoding="utf-8"?>
<ds:datastoreItem xmlns:ds="http://schemas.openxmlformats.org/officeDocument/2006/customXml" ds:itemID="{AFA51B48-EBEF-49BE-B4AD-4775FAD881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Sewer Project Data</vt:lpstr>
      <vt:lpstr>Sewer Cost Data</vt:lpstr>
      <vt:lpstr>Water Project Data</vt:lpstr>
      <vt:lpstr>Water Cost Data</vt:lpstr>
      <vt:lpstr>Reimbursement Calculator</vt:lpstr>
      <vt:lpstr>Data</vt:lpstr>
      <vt:lpstr>Contribution Calculator</vt:lpstr>
    </vt:vector>
  </TitlesOfParts>
  <Manager/>
  <Company>City of Raleigh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CORuser</dc:creator>
  <cp:keywords/>
  <dc:description/>
  <cp:lastModifiedBy>Haagen, Rene</cp:lastModifiedBy>
  <cp:revision/>
  <dcterms:created xsi:type="dcterms:W3CDTF">2009-07-06T19:08:50Z</dcterms:created>
  <dcterms:modified xsi:type="dcterms:W3CDTF">2024-07-01T18:57:46Z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0x0101006DEB8297AF301742B1CAE877A57B92DF00B61535229E3ED445BAD2E3E90076E21E</vt:lpwstr>
  </property>
  <property fmtid="{D5CDD505-2E9C-101B-9397-08002B2CF9AE}" pid="3" name="MediaServiceImageTags">
    <vt:lpwstr/>
  </property>
</Properties>
</file>